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0730" windowHeight="9135" tabRatio="802"/>
  </bookViews>
  <sheets>
    <sheet name="Resumo 2025" sheetId="80" r:id="rId1"/>
    <sheet name="1. Coleta Orgânica e Selet" sheetId="2" r:id="rId2"/>
    <sheet name="2. Contentores" sheetId="45" r:id="rId3"/>
    <sheet name="3.Enc Sociais" sheetId="8" r:id="rId4"/>
    <sheet name="4.BDI" sheetId="4" r:id="rId5"/>
    <sheet name="5. Ton " sheetId="88" r:id="rId6"/>
    <sheet name="6. Hor. " sheetId="89" r:id="rId7"/>
    <sheet name="7. Roteiros" sheetId="71" r:id="rId8"/>
    <sheet name="8. Depr" sheetId="6" r:id="rId9"/>
    <sheet name="9. Rem capital" sheetId="7" r:id="rId10"/>
    <sheet name="10. Dimens" sheetId="9" r:id="rId11"/>
  </sheets>
  <definedNames>
    <definedName name="_____LO25" localSheetId="6">#REF!</definedName>
    <definedName name="_____LO25">#REF!</definedName>
    <definedName name="____LO25" localSheetId="6">#REF!</definedName>
    <definedName name="____LO25">#REF!</definedName>
    <definedName name="___LO25" localSheetId="6">#REF!</definedName>
    <definedName name="___LO25">#REF!</definedName>
    <definedName name="__LO25" localSheetId="6">#REF!</definedName>
    <definedName name="__LO25">#REF!</definedName>
    <definedName name="_LO25" localSheetId="5">#REF!</definedName>
    <definedName name="_LO25" localSheetId="6">#REF!</definedName>
    <definedName name="_LO25" localSheetId="7">#REF!</definedName>
    <definedName name="_LO25" localSheetId="0">#REF!</definedName>
    <definedName name="_LO25">#REF!</definedName>
    <definedName name="AbaDeprec">'8. Depr'!$A$1</definedName>
    <definedName name="AbaRemun" localSheetId="5">#REF!</definedName>
    <definedName name="AbaRemun" localSheetId="6">#REF!</definedName>
    <definedName name="AbaRemun" localSheetId="0">#REF!</definedName>
    <definedName name="AbaRemun">'9. Rem capital'!$A$1</definedName>
    <definedName name="_xlnm.Print_Area" localSheetId="1">'1. Coleta Orgânica e Selet'!$A$1:$F$279</definedName>
    <definedName name="_xlnm.Print_Area" localSheetId="2">'2. Contentores'!$A$1:$F$113</definedName>
    <definedName name="_xlnm.Print_Area" localSheetId="3">'3.Enc Sociais'!$A$1:$C$39</definedName>
    <definedName name="Horário" localSheetId="2">#REF!</definedName>
    <definedName name="Horário" localSheetId="5">#REF!</definedName>
    <definedName name="Horário" localSheetId="6">#REF!</definedName>
    <definedName name="Horário" localSheetId="7">#REF!</definedName>
    <definedName name="Horário" localSheetId="0">#REF!</definedName>
    <definedName name="Horário">#REF!</definedName>
    <definedName name="sesi" localSheetId="6">#REF!</definedName>
    <definedName name="sesi">#REF!</definedName>
    <definedName name="_xlnm.Print_Titles" localSheetId="1">'1. Coleta Orgânica e Selet'!#REF!</definedName>
    <definedName name="_xlnm.Print_Titles" localSheetId="2">'2. Contentores'!$1:$7</definedName>
  </definedNames>
  <calcPr calcId="12451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9" i="71"/>
  <c r="E102" s="1"/>
  <c r="M22" s="1"/>
  <c r="E71"/>
  <c r="E74" s="1"/>
  <c r="M9" s="1"/>
  <c r="E62"/>
  <c r="E65" s="1"/>
  <c r="M7" s="1"/>
  <c r="E54"/>
  <c r="E80" s="1"/>
  <c r="E83" s="1"/>
  <c r="M11" s="1"/>
  <c r="E45"/>
  <c r="E108" s="1"/>
  <c r="E111" s="1"/>
  <c r="M24" s="1"/>
  <c r="M34"/>
  <c r="M38" s="1"/>
  <c r="E33"/>
  <c r="K24"/>
  <c r="E16"/>
  <c r="E90" s="1"/>
  <c r="E93" s="1"/>
  <c r="M20" s="1"/>
  <c r="M26" s="1"/>
  <c r="M27" s="1"/>
  <c r="M13" l="1"/>
  <c r="M14" s="1"/>
  <c r="C90" i="45" l="1"/>
  <c r="D66" i="2"/>
  <c r="C99" l="1"/>
  <c r="C211" l="1"/>
  <c r="C168"/>
  <c r="C163"/>
  <c r="D150"/>
  <c r="D149"/>
  <c r="E149" s="1"/>
  <c r="D146"/>
  <c r="E138"/>
  <c r="E137"/>
  <c r="E136"/>
  <c r="E135"/>
  <c r="E134"/>
  <c r="E133"/>
  <c r="E132"/>
  <c r="E131"/>
  <c r="E130"/>
  <c r="E129"/>
  <c r="E128"/>
  <c r="E127"/>
  <c r="E126"/>
  <c r="J15" i="89" l="1"/>
  <c r="K16"/>
  <c r="K19" s="1"/>
  <c r="K22" s="1"/>
  <c r="K23" s="1"/>
  <c r="I17"/>
  <c r="I16"/>
  <c r="I15"/>
  <c r="I14"/>
  <c r="I13"/>
  <c r="I12"/>
  <c r="I11"/>
  <c r="I10"/>
  <c r="I9"/>
  <c r="I8"/>
  <c r="I7"/>
  <c r="I6"/>
  <c r="I5"/>
  <c r="J19"/>
  <c r="C248" i="2" l="1"/>
  <c r="C247"/>
  <c r="D214"/>
  <c r="D212"/>
  <c r="D210"/>
  <c r="D208"/>
  <c r="D206"/>
  <c r="D204"/>
  <c r="C150"/>
  <c r="D148"/>
  <c r="D147"/>
  <c r="D215" l="1"/>
  <c r="D106" l="1"/>
  <c r="D105"/>
  <c r="G35" i="89" l="1"/>
  <c r="G38" s="1"/>
  <c r="G40" s="1"/>
  <c r="G42" s="1"/>
  <c r="E71" i="2" s="1"/>
  <c r="G23" i="89"/>
  <c r="G26" s="1"/>
  <c r="G28" s="1"/>
  <c r="G30" s="1"/>
  <c r="B42" i="2" s="1"/>
  <c r="D26" i="88" l="1"/>
  <c r="D28" s="1"/>
  <c r="D30" s="1"/>
  <c r="F7"/>
  <c r="F11" s="1"/>
  <c r="F12" s="1"/>
  <c r="F9" l="1"/>
  <c r="O7" i="89" l="1"/>
  <c r="O5"/>
  <c r="P14" l="1"/>
  <c r="P16" s="1"/>
  <c r="B201" i="2"/>
  <c r="C204" s="1"/>
  <c r="E150"/>
  <c r="C214" l="1"/>
  <c r="E214" s="1"/>
  <c r="C210"/>
  <c r="E210" s="1"/>
  <c r="C208"/>
  <c r="E208" s="1"/>
  <c r="C206"/>
  <c r="E204"/>
  <c r="E93"/>
  <c r="E206" l="1"/>
  <c r="C212"/>
  <c r="E212" s="1"/>
  <c r="E91" i="45"/>
  <c r="D92" s="1"/>
  <c r="E92" s="1"/>
  <c r="E89"/>
  <c r="D90" s="1"/>
  <c r="E90" s="1"/>
  <c r="D83"/>
  <c r="D81"/>
  <c r="D79"/>
  <c r="D77"/>
  <c r="D75"/>
  <c r="C75"/>
  <c r="C83" s="1"/>
  <c r="E67"/>
  <c r="E65"/>
  <c r="E64"/>
  <c r="D63"/>
  <c r="E63" s="1"/>
  <c r="D66" s="1"/>
  <c r="E66" s="1"/>
  <c r="F67" s="1"/>
  <c r="E59"/>
  <c r="E52"/>
  <c r="D47"/>
  <c r="C50" s="1"/>
  <c r="D51" s="1"/>
  <c r="E51" s="1"/>
  <c r="E43"/>
  <c r="C40"/>
  <c r="E36"/>
  <c r="C35"/>
  <c r="E31"/>
  <c r="C49" s="1"/>
  <c r="E23"/>
  <c r="A22"/>
  <c r="A17"/>
  <c r="A16"/>
  <c r="A15"/>
  <c r="A14"/>
  <c r="A13"/>
  <c r="C77" l="1"/>
  <c r="E77" s="1"/>
  <c r="D84"/>
  <c r="C81"/>
  <c r="E83"/>
  <c r="E81"/>
  <c r="F93"/>
  <c r="E16" s="1"/>
  <c r="D34"/>
  <c r="E34" s="1"/>
  <c r="D35" s="1"/>
  <c r="E35" s="1"/>
  <c r="C54"/>
  <c r="C58"/>
  <c r="D39"/>
  <c r="E39" s="1"/>
  <c r="E47"/>
  <c r="E75"/>
  <c r="C79"/>
  <c r="E79" s="1"/>
  <c r="F85" l="1"/>
  <c r="D40"/>
  <c r="E40" s="1"/>
  <c r="E41" s="1"/>
  <c r="D42" s="1"/>
  <c r="E42" s="1"/>
  <c r="F43" s="1"/>
  <c r="C55"/>
  <c r="D56" s="1"/>
  <c r="E56" s="1"/>
  <c r="E57" s="1"/>
  <c r="D58" s="1"/>
  <c r="E58" s="1"/>
  <c r="F59" s="1"/>
  <c r="E15" s="1"/>
  <c r="F95" l="1"/>
  <c r="E14"/>
  <c r="D99" l="1"/>
  <c r="E13"/>
  <c r="C16" i="4" l="1"/>
  <c r="E247" i="2" l="1"/>
  <c r="C255" l="1"/>
  <c r="A25" l="1"/>
  <c r="E246"/>
  <c r="E248"/>
  <c r="C100"/>
  <c r="C117"/>
  <c r="F249" l="1"/>
  <c r="E25" s="1"/>
  <c r="C22" i="9" l="1"/>
  <c r="A14" i="2" l="1"/>
  <c r="E117"/>
  <c r="E106" l="1"/>
  <c r="C144" l="1"/>
  <c r="E140" l="1"/>
  <c r="E152"/>
  <c r="E113" l="1"/>
  <c r="E173" s="1"/>
  <c r="E190" s="1"/>
  <c r="E198" s="1"/>
  <c r="E257" s="1"/>
  <c r="C195" l="1"/>
  <c r="C194"/>
  <c r="C196"/>
  <c r="A27" l="1"/>
  <c r="A26"/>
  <c r="A24"/>
  <c r="A16"/>
  <c r="A15"/>
  <c r="A7"/>
  <c r="C15" i="9" l="1"/>
  <c r="C18" s="1"/>
  <c r="C16" l="1"/>
  <c r="C23"/>
  <c r="C25" s="1"/>
  <c r="D170" i="2"/>
  <c r="E35" l="1"/>
  <c r="E34"/>
  <c r="C151" s="1"/>
  <c r="E33"/>
  <c r="E39"/>
  <c r="C105" l="1"/>
  <c r="C139"/>
  <c r="C112"/>
  <c r="C189"/>
  <c r="C183"/>
  <c r="D144" l="1"/>
  <c r="E144" s="1"/>
  <c r="D49" l="1"/>
  <c r="E49" s="1"/>
  <c r="D48"/>
  <c r="E48" s="1"/>
  <c r="D62"/>
  <c r="E62" s="1"/>
  <c r="C82"/>
  <c r="D50" l="1"/>
  <c r="E50" s="1"/>
  <c r="C85"/>
  <c r="D63"/>
  <c r="E63" s="1"/>
  <c r="D64" s="1"/>
  <c r="E64" s="1"/>
  <c r="D77" l="1"/>
  <c r="A23"/>
  <c r="A22"/>
  <c r="A21"/>
  <c r="A20"/>
  <c r="A19"/>
  <c r="A18"/>
  <c r="A17"/>
  <c r="A13"/>
  <c r="A12"/>
  <c r="A11"/>
  <c r="A10"/>
  <c r="A9"/>
  <c r="A8"/>
  <c r="E56"/>
  <c r="F119" s="1"/>
  <c r="E14" s="1"/>
  <c r="D177"/>
  <c r="C21" i="4"/>
  <c r="F14"/>
  <c r="E14"/>
  <c r="D14"/>
  <c r="C17" i="8"/>
  <c r="C88" i="2"/>
  <c r="C79"/>
  <c r="D82"/>
  <c r="E82" s="1"/>
  <c r="E60"/>
  <c r="D100" s="1"/>
  <c r="C227"/>
  <c r="E227" s="1"/>
  <c r="E160"/>
  <c r="D182"/>
  <c r="C169"/>
  <c r="C164"/>
  <c r="E255"/>
  <c r="D256" s="1"/>
  <c r="E256" s="1"/>
  <c r="C165"/>
  <c r="C182" s="1"/>
  <c r="A33"/>
  <c r="A34"/>
  <c r="A35"/>
  <c r="A39"/>
  <c r="E47"/>
  <c r="D99" s="1"/>
  <c r="A105"/>
  <c r="D145"/>
  <c r="E145" s="1"/>
  <c r="E146"/>
  <c r="E147"/>
  <c r="E148"/>
  <c r="E225"/>
  <c r="E196"/>
  <c r="E195"/>
  <c r="E237"/>
  <c r="E238"/>
  <c r="E239"/>
  <c r="C265" l="1"/>
  <c r="C99" i="45"/>
  <c r="E99" s="1"/>
  <c r="F100" s="1"/>
  <c r="F102" s="1"/>
  <c r="E66" i="2"/>
  <c r="E67" s="1"/>
  <c r="E100" s="1"/>
  <c r="D163"/>
  <c r="E163" s="1"/>
  <c r="E76"/>
  <c r="D80"/>
  <c r="E80" s="1"/>
  <c r="D83"/>
  <c r="E83" s="1"/>
  <c r="D85"/>
  <c r="E85" s="1"/>
  <c r="D79"/>
  <c r="E79" s="1"/>
  <c r="F240"/>
  <c r="F242" s="1"/>
  <c r="E24" s="1"/>
  <c r="E165"/>
  <c r="C184" s="1"/>
  <c r="D139"/>
  <c r="E105"/>
  <c r="F107" s="1"/>
  <c r="E36"/>
  <c r="E111"/>
  <c r="E182"/>
  <c r="E112"/>
  <c r="D51"/>
  <c r="E253"/>
  <c r="D254" s="1"/>
  <c r="E254" s="1"/>
  <c r="F257" s="1"/>
  <c r="F259" s="1"/>
  <c r="E26" s="1"/>
  <c r="E177"/>
  <c r="D228"/>
  <c r="E228" s="1"/>
  <c r="D229" s="1"/>
  <c r="D151"/>
  <c r="E17" i="45" l="1"/>
  <c r="E18" s="1"/>
  <c r="F105"/>
  <c r="E51" i="2"/>
  <c r="E52" s="1"/>
  <c r="C35" i="8"/>
  <c r="D164" i="2"/>
  <c r="E164" s="1"/>
  <c r="C179"/>
  <c r="D194" s="1"/>
  <c r="C25" i="8"/>
  <c r="C34" s="1"/>
  <c r="D86" i="2"/>
  <c r="E86" s="1"/>
  <c r="D88" s="1"/>
  <c r="E88" s="1"/>
  <c r="E12"/>
  <c r="F113"/>
  <c r="E151"/>
  <c r="F152" s="1"/>
  <c r="E139"/>
  <c r="F140" s="1"/>
  <c r="D168"/>
  <c r="E168" s="1"/>
  <c r="D169" s="1"/>
  <c r="E169" s="1"/>
  <c r="D68"/>
  <c r="E170" l="1"/>
  <c r="E171" s="1"/>
  <c r="D172" s="1"/>
  <c r="E172" s="1"/>
  <c r="F173" s="1"/>
  <c r="E18" s="1"/>
  <c r="C5" i="80"/>
  <c r="F113" i="45"/>
  <c r="F110"/>
  <c r="F17"/>
  <c r="F16"/>
  <c r="F15"/>
  <c r="F13"/>
  <c r="F14"/>
  <c r="D53" i="2"/>
  <c r="E99"/>
  <c r="F101" s="1"/>
  <c r="E11" s="1"/>
  <c r="C180"/>
  <c r="D181" s="1"/>
  <c r="E181" s="1"/>
  <c r="E194"/>
  <c r="D197" s="1"/>
  <c r="E197" s="1"/>
  <c r="F198" s="1"/>
  <c r="E20" s="1"/>
  <c r="E13"/>
  <c r="C29" i="8"/>
  <c r="C32" s="1"/>
  <c r="C36"/>
  <c r="C185" i="2"/>
  <c r="D186" s="1"/>
  <c r="E186" s="1"/>
  <c r="F154"/>
  <c r="E15" s="1"/>
  <c r="E89"/>
  <c r="D90" s="1"/>
  <c r="E187" l="1"/>
  <c r="E188" s="1"/>
  <c r="D189" s="1"/>
  <c r="E189" s="1"/>
  <c r="F190" s="1"/>
  <c r="F18" i="45"/>
  <c r="C37" i="8"/>
  <c r="E19" i="2" l="1"/>
  <c r="C68"/>
  <c r="E68" s="1"/>
  <c r="E69" s="1"/>
  <c r="D70" s="1"/>
  <c r="E70" s="1"/>
  <c r="F71" s="1"/>
  <c r="C53"/>
  <c r="E53" s="1"/>
  <c r="E54" s="1"/>
  <c r="D55" s="1"/>
  <c r="E55" s="1"/>
  <c r="F56" s="1"/>
  <c r="C90"/>
  <c r="E90" s="1"/>
  <c r="E91" s="1"/>
  <c r="D92" s="1"/>
  <c r="E92" s="1"/>
  <c r="F93" s="1"/>
  <c r="F121" l="1"/>
  <c r="E8"/>
  <c r="E9"/>
  <c r="E10"/>
  <c r="E7" l="1"/>
  <c r="C229" l="1"/>
  <c r="E229" s="1"/>
  <c r="F230" s="1"/>
  <c r="E23" s="1"/>
  <c r="C220" l="1"/>
  <c r="E220" s="1"/>
  <c r="F221" s="1"/>
  <c r="E22" s="1"/>
  <c r="F216" l="1"/>
  <c r="E21" s="1"/>
  <c r="E17" s="1"/>
  <c r="F233" l="1"/>
  <c r="F261" s="1"/>
  <c r="D265" l="1"/>
  <c r="E265" s="1"/>
  <c r="F266" s="1"/>
  <c r="F268" s="1"/>
  <c r="E16"/>
  <c r="E27" l="1"/>
  <c r="E28" s="1"/>
  <c r="F270"/>
  <c r="C4" i="80" s="1"/>
  <c r="F275" i="2" l="1"/>
  <c r="F10"/>
  <c r="F11"/>
  <c r="F20"/>
  <c r="F9"/>
  <c r="F16"/>
  <c r="F19"/>
  <c r="F15"/>
  <c r="F22"/>
  <c r="F12"/>
  <c r="F21"/>
  <c r="F8"/>
  <c r="F14"/>
  <c r="F13"/>
  <c r="F7"/>
  <c r="F18"/>
  <c r="F26"/>
  <c r="F17"/>
  <c r="F25"/>
  <c r="F23"/>
  <c r="F24"/>
  <c r="F27"/>
  <c r="C7" i="80"/>
  <c r="C10" s="1"/>
  <c r="F28" i="2" l="1"/>
  <c r="C12" i="80"/>
</calcChain>
</file>

<file path=xl/sharedStrings.xml><?xml version="1.0" encoding="utf-8"?>
<sst xmlns="http://schemas.openxmlformats.org/spreadsheetml/2006/main" count="1096" uniqueCount="491">
  <si>
    <t>hora</t>
  </si>
  <si>
    <t>Adicional de Insalubridade</t>
  </si>
  <si>
    <t>%</t>
  </si>
  <si>
    <t>Soma</t>
  </si>
  <si>
    <t>Encargos Sociais</t>
  </si>
  <si>
    <t>Total do Efetivo</t>
  </si>
  <si>
    <t>homem</t>
  </si>
  <si>
    <t>Adicional Noturno</t>
  </si>
  <si>
    <t>mês</t>
  </si>
  <si>
    <t>vale</t>
  </si>
  <si>
    <t>unidade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</si>
  <si>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</si>
  <si>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</si>
  <si>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</si>
  <si>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</si>
  <si>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</si>
  <si>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</si>
  <si>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</si>
  <si>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</si>
  <si>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</si>
  <si>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da transmissão</t>
  </si>
  <si>
    <t>Custo mensal com óleo hidráulico</t>
  </si>
  <si>
    <t>Custo de graxa /1.000 km rodados</t>
  </si>
  <si>
    <t>kg/1.000 km</t>
  </si>
  <si>
    <t>Custo mensal com graxa</t>
  </si>
  <si>
    <t>km/jogo</t>
  </si>
  <si>
    <t>toneladas</t>
  </si>
  <si>
    <t>Pá de Concha</t>
  </si>
  <si>
    <t>Calça</t>
  </si>
  <si>
    <t>Camiseta</t>
  </si>
  <si>
    <t>Luva de proteção</t>
  </si>
  <si>
    <t>R$/tonelada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</si>
  <si>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</si>
  <si>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</si>
  <si>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</si>
  <si>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</si>
  <si>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</si>
  <si>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</si>
  <si>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</si>
  <si>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</si>
  <si>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</si>
  <si>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</si>
  <si>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</si>
  <si>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Motorista</t>
  </si>
  <si>
    <t>2. Uniformes e Equipamentos de Proteção Individual</t>
  </si>
  <si>
    <t>3.1.1. Depreciação</t>
  </si>
  <si>
    <t>1. Mão-de-obra</t>
  </si>
  <si>
    <t>par</t>
  </si>
  <si>
    <t>frasco 120g</t>
  </si>
  <si>
    <t>Depreciação mensal veículos coletores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</si>
  <si>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</si>
  <si>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</si>
  <si>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</si>
  <si>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</si>
  <si>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</si>
  <si>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</si>
  <si>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cj</t>
  </si>
  <si>
    <t>Total de mão-de-obra (postos de trabalho)</t>
  </si>
  <si>
    <t>Custo mensal com implantação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</si>
  <si>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</si>
  <si>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</si>
  <si>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</si>
  <si>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</si>
  <si>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</si>
  <si>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</si>
  <si>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</si>
  <si>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</si>
  <si>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Botina de segurança c/ palmilha aço</t>
  </si>
  <si>
    <t>PREÇO POR TONELADA COLETADA:  [A/B]</t>
  </si>
  <si>
    <t>Custo de recapagem</t>
  </si>
  <si>
    <t>Recipiente térmico para água (5L)</t>
  </si>
  <si>
    <t>Total por Coletor</t>
  </si>
  <si>
    <t>Coletor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</si>
  <si>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</si>
  <si>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</si>
  <si>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</si>
  <si>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</si>
  <si>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</si>
  <si>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</si>
  <si>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</si>
  <si>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</si>
  <si>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</si>
  <si>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</si>
  <si>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Fórmula para o cálculo do BDI:</t>
  </si>
  <si>
    <t>{[(1+AC+SRG) x (1+L) x (1+DF)] / (1-T)} -1</t>
  </si>
  <si>
    <t>Resultado do cálculo do BDI:</t>
  </si>
  <si>
    <t>Vale Transporte</t>
  </si>
  <si>
    <t>Dias Trabalhados por mês</t>
  </si>
  <si>
    <t>dia</t>
  </si>
  <si>
    <t>Custo Mensal com Mão-de-obra (R$/mês)</t>
  </si>
  <si>
    <t>Meia de algodão com cano alto</t>
  </si>
  <si>
    <r>
      <t xml:space="preserve">Custo jg. compl. + </t>
    </r>
    <r>
      <rPr>
        <sz val="10"/>
        <color indexed="10"/>
        <rFont val="Arial"/>
        <family val="2"/>
      </rPr>
      <t>X</t>
    </r>
    <r>
      <rPr>
        <sz val="10"/>
        <rFont val="Arial"/>
        <family val="2"/>
      </rPr>
      <t xml:space="preserve"> recap./ km rodado</t>
    </r>
  </si>
  <si>
    <t>Quantitativos</t>
  </si>
  <si>
    <t>horas trabalhadas</t>
  </si>
  <si>
    <t>Horas Extras Noturnas (100%)</t>
  </si>
  <si>
    <t>1.1. Coletor Turno Dia</t>
  </si>
  <si>
    <t>hora contabilizada</t>
  </si>
  <si>
    <t>Vida útil do chassis</t>
  </si>
  <si>
    <t>anos</t>
  </si>
  <si>
    <t>Depreciação do chassis</t>
  </si>
  <si>
    <t>Custo de aquisição do chassis</t>
  </si>
  <si>
    <t>i = taxa de juros do mercado (sugere-se adotar a taxa SELIC)</t>
  </si>
  <si>
    <t>n = vida útil do bem em anos</t>
  </si>
  <si>
    <t>Custo do chassis</t>
  </si>
  <si>
    <t>3.1.2. Remuneração do Capital</t>
  </si>
  <si>
    <t>Im = investimento médio</t>
  </si>
  <si>
    <t>Investimento médio total do chassis</t>
  </si>
  <si>
    <t>Remuneração mensal de capital do chassis</t>
  </si>
  <si>
    <t>Custo de manutenção dos caminhões</t>
  </si>
  <si>
    <t>Quilometragem mensal</t>
  </si>
  <si>
    <t>R$/km rodado</t>
  </si>
  <si>
    <t>Número de recapagens por pneu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</si>
  <si>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</si>
  <si>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</si>
  <si>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</si>
  <si>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</si>
  <si>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</si>
  <si>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</si>
  <si>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</si>
  <si>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</si>
  <si>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</si>
  <si>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</si>
  <si>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</si>
  <si>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</si>
  <si>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</si>
  <si>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</si>
  <si>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</si>
  <si>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</si>
  <si>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</si>
  <si>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</si>
  <si>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</si>
  <si>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</si>
  <si>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</si>
  <si>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</si>
  <si>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</si>
  <si>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</si>
  <si>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</si>
  <si>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</si>
  <si>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</si>
  <si>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</si>
  <si>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</si>
  <si>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</si>
  <si>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</si>
  <si>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</si>
  <si>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</si>
  <si>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</si>
  <si>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</si>
  <si>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</si>
  <si>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</si>
  <si>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</si>
  <si>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</si>
  <si>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</si>
  <si>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</si>
  <si>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</si>
  <si>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</si>
  <si>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</si>
  <si>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</si>
  <si>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</si>
  <si>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D</t>
  </si>
  <si>
    <t>SOMA GRUPO D</t>
  </si>
  <si>
    <t>SOMA (A+B+C+D)</t>
  </si>
  <si>
    <t>1° Quartil</t>
  </si>
  <si>
    <t>Médio</t>
  </si>
  <si>
    <t>3° Quartil</t>
  </si>
  <si>
    <t>DU</t>
  </si>
  <si>
    <t>Licenciamento e Seguro obrigatório</t>
  </si>
  <si>
    <t>Fator de utilização</t>
  </si>
  <si>
    <t>Fator de utilização (FU)</t>
  </si>
  <si>
    <t>2.1. Uniformes e EPIs para Coletor</t>
  </si>
  <si>
    <t>2.2. Uniformes e EPIs para demais categorias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</si>
  <si>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</si>
  <si>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</si>
  <si>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</si>
  <si>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</si>
  <si>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</si>
  <si>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Excluir esta linha caso a contratação seja por preço global mensal</t>
  </si>
  <si>
    <t>Idade do veículo (ano)</t>
  </si>
  <si>
    <t>Idade do veículo</t>
  </si>
  <si>
    <t>Valor do veículo proposto (V0)</t>
  </si>
  <si>
    <t>Valor do compactador proposto (V0)</t>
  </si>
  <si>
    <t>Taxa de juros anual nominal</t>
  </si>
  <si>
    <t>Piso da categoria</t>
  </si>
  <si>
    <t>Base de cálculo da Insalubridade</t>
  </si>
  <si>
    <t>Horas Extras Noturnas (50%)</t>
  </si>
  <si>
    <t>Excluir esta linha caso a contratação não tenha previsão de horas extras explícita no edital</t>
  </si>
  <si>
    <t>Descanso Semanal Remunerado (DSR) - hora extra</t>
  </si>
  <si>
    <t>C2</t>
  </si>
  <si>
    <t>B3</t>
  </si>
  <si>
    <t xml:space="preserve">Quantidade média de resíduos coletados por mês: 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</si>
  <si>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</si>
  <si>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</si>
  <si>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</si>
  <si>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</si>
  <si>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</si>
  <si>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</si>
  <si>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</si>
  <si>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</si>
  <si>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</si>
  <si>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</si>
  <si>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Custo unitário</t>
  </si>
  <si>
    <t>Custo de óleo do motor /1.000 km rodados</t>
  </si>
  <si>
    <t>Custo de óleo da transmissão /1.000 km</t>
  </si>
  <si>
    <t>Custo de óleo hidráulico / 1.000 km</t>
  </si>
  <si>
    <t>PREÇO TOTAL MENSAL COM A COLETA</t>
  </si>
  <si>
    <t>CUSTO MENSAL COM BDI (R$/mês)</t>
  </si>
  <si>
    <t>Referência estudo TCE</t>
  </si>
  <si>
    <t>1. Esta planilha é somente um modelo-base e deve ser ajustada conforme cada caso concreto.</t>
  </si>
  <si>
    <t>Fórmula de cálculo da remuneração de capital:</t>
  </si>
  <si>
    <t>Excluir esta linha caso a contratação não tenha previsão de horas extras 100% explícita no edital</t>
  </si>
  <si>
    <t>Excluir esta linha caso a contratação não tenha previsão de horas extras noturnas 100% explícita no edital</t>
  </si>
  <si>
    <t>Excluir esta linha caso a contratação não tenha previsão de horas extras 50% explícita no edital</t>
  </si>
  <si>
    <t>Excluir esta linha caso a contratação não tenha previsão de horas extras noturnas 50% explícita no edital</t>
  </si>
  <si>
    <t>Total por Motorista</t>
  </si>
  <si>
    <t>Durabilidade (meses)</t>
  </si>
  <si>
    <t>Custo com consumos/km rodado</t>
  </si>
  <si>
    <t>Consumo</t>
  </si>
  <si>
    <t>Total por veículo</t>
  </si>
  <si>
    <t>Total da frota</t>
  </si>
  <si>
    <t>1. Esta planilha é somente um modelo de cálculo expedito e deve ser ajustada conforme cada caso concreto.</t>
  </si>
  <si>
    <t>Unid</t>
  </si>
  <si>
    <t>hab</t>
  </si>
  <si>
    <t>ton</t>
  </si>
  <si>
    <t>Densidade RSU compactado</t>
  </si>
  <si>
    <t>Kg/m³</t>
  </si>
  <si>
    <t>m³</t>
  </si>
  <si>
    <t>Kg/hab.dia</t>
  </si>
  <si>
    <t>ton/dia</t>
  </si>
  <si>
    <t>População (H)</t>
  </si>
  <si>
    <t>Geração per capita (G)</t>
  </si>
  <si>
    <t>Geração total diária (Qd)</t>
  </si>
  <si>
    <t>Quantitativo diário de coleta (Qc)</t>
  </si>
  <si>
    <t>Número de dias de coleta por semana (Dc)</t>
  </si>
  <si>
    <t>Capacidade nominal de carga (Cc)</t>
  </si>
  <si>
    <t>Número de Cargas por dia (Nc)</t>
  </si>
  <si>
    <t>Número de veículos da Frota (F)</t>
  </si>
  <si>
    <t>Geração Mensal</t>
  </si>
  <si>
    <t>Tipo de Veículo (1 = toco, 2 = truck)</t>
  </si>
  <si>
    <t>Capacidade do Compactador</t>
  </si>
  <si>
    <t>Indicador</t>
  </si>
  <si>
    <t>Número total de percursos de coleta por veículo, por dia (Np)</t>
  </si>
  <si>
    <t>i</t>
  </si>
  <si>
    <t>3. Preencher somente células em amarelo</t>
  </si>
  <si>
    <t>Depreciação Média</t>
  </si>
  <si>
    <t>2. Dimensionar separadamente setores atendidos por veículos de capacidade de carga diferentes.</t>
  </si>
  <si>
    <t>Reincidência de FGTS sobre aviso prévio indenizado</t>
  </si>
  <si>
    <t>Piso da categoria (2)</t>
  </si>
  <si>
    <t>Salário mínimo nacional (1)</t>
  </si>
  <si>
    <t>O TCE/RS não se responsabiliza pelo uso incorreto desta planilha.</t>
  </si>
  <si>
    <t xml:space="preserve">O orçamento deve ser realizado por responsável técnico habilitado e é de </t>
  </si>
  <si>
    <t>responsabilidade do seu autor.</t>
  </si>
  <si>
    <t>realizada nos últimos 12 meses</t>
  </si>
  <si>
    <t xml:space="preserve"> todos os turnos de trabalho.</t>
  </si>
  <si>
    <t>Obs:</t>
  </si>
  <si>
    <t>&gt; Informar a população do município a ser atendida</t>
  </si>
  <si>
    <t xml:space="preserve">&gt; Caso o município possua informações de pesagem, ajustar com o valor da geração média per capita </t>
  </si>
  <si>
    <t>&gt; Informe o número de dias de coleta por semana</t>
  </si>
  <si>
    <t xml:space="preserve">&gt; Informar 1 para caminhão toco; Informar 2 para caminhão truck </t>
  </si>
  <si>
    <t>&gt; Informar a capacidade do compactador em m³</t>
  </si>
  <si>
    <t>&gt; Informar o número de percursos de coleta (cargas) que cada caminhão realiza por dia, considerando</t>
  </si>
  <si>
    <t xml:space="preserve">O orçamento deve ser realizado por responsável técnico habilitado e é </t>
  </si>
  <si>
    <t>de responsabilidade do seu autor.</t>
  </si>
  <si>
    <t xml:space="preserve">O orçamento deve ser realizado por responsável técnico habilitado e </t>
  </si>
  <si>
    <t>é de responsabilidade do seu autor.</t>
  </si>
  <si>
    <t xml:space="preserve">Ordem </t>
  </si>
  <si>
    <t xml:space="preserve">Nr. Func. </t>
  </si>
  <si>
    <t xml:space="preserve">Cargo </t>
  </si>
  <si>
    <t xml:space="preserve">Dias </t>
  </si>
  <si>
    <t xml:space="preserve">Entrada </t>
  </si>
  <si>
    <t>Saída</t>
  </si>
  <si>
    <t xml:space="preserve">Total de horas por coletor </t>
  </si>
  <si>
    <t xml:space="preserve">Total de dias por semana </t>
  </si>
  <si>
    <t xml:space="preserve">Total de horas por semana </t>
  </si>
  <si>
    <t xml:space="preserve">Dias úteis semana </t>
  </si>
  <si>
    <t>Total de dias com (DSR) Descanso Semanal Remunerado</t>
  </si>
  <si>
    <t>Total de horas/dia com (DSR)</t>
  </si>
  <si>
    <t xml:space="preserve">Total de dias no mês (30 dias) </t>
  </si>
  <si>
    <t>Total geral de horas mês com (DSR)</t>
  </si>
  <si>
    <t xml:space="preserve">Total de horas por motorista </t>
  </si>
  <si>
    <t>Total geral de horas base mês com (DSR)</t>
  </si>
  <si>
    <t xml:space="preserve">Fator de utilização </t>
  </si>
  <si>
    <t>Distância</t>
  </si>
  <si>
    <t>Und.</t>
  </si>
  <si>
    <t>Cor Linha</t>
  </si>
  <si>
    <t>Ponto a Ponto</t>
  </si>
  <si>
    <t>m</t>
  </si>
  <si>
    <t>Trecho 01</t>
  </si>
  <si>
    <t>1 - 2</t>
  </si>
  <si>
    <t>Trecho 02</t>
  </si>
  <si>
    <t>2 - 3</t>
  </si>
  <si>
    <t>Trecho 03</t>
  </si>
  <si>
    <t>3 - 4</t>
  </si>
  <si>
    <t>Trecho 04</t>
  </si>
  <si>
    <t>4 - 5</t>
  </si>
  <si>
    <t>Trecho 05</t>
  </si>
  <si>
    <t>5 - 6</t>
  </si>
  <si>
    <t>Trecho 06</t>
  </si>
  <si>
    <t>6 - 7</t>
  </si>
  <si>
    <t>Trecho 07</t>
  </si>
  <si>
    <t>7 - 8</t>
  </si>
  <si>
    <t>Trecho 08</t>
  </si>
  <si>
    <t>Distância total da Rota:</t>
  </si>
  <si>
    <t>Dias da semana</t>
  </si>
  <si>
    <t>Nu. Coleta Semanal</t>
  </si>
  <si>
    <t>Trecho</t>
  </si>
  <si>
    <t>x</t>
  </si>
  <si>
    <t>Total Semanal</t>
  </si>
  <si>
    <t>Km</t>
  </si>
  <si>
    <t>Total Mensal</t>
  </si>
  <si>
    <t>8 - 9</t>
  </si>
  <si>
    <t>Tributos - PIS/COFINS/ e CPP se houver</t>
  </si>
  <si>
    <t>3.1. Veículo Coletor com compactador</t>
  </si>
  <si>
    <t>Custo de aquisição do compactador</t>
  </si>
  <si>
    <t>Idade do chassis</t>
  </si>
  <si>
    <t>Depreciação mensal do chassis</t>
  </si>
  <si>
    <t>Encarregado</t>
  </si>
  <si>
    <t xml:space="preserve">Descrição </t>
  </si>
  <si>
    <t>Total Geral</t>
  </si>
  <si>
    <t>Publicidade (adesivos equipamentos e veículos)</t>
  </si>
  <si>
    <t>Fator de util.</t>
  </si>
  <si>
    <t xml:space="preserve">Plano de Benefício Social </t>
  </si>
  <si>
    <t>ROTAS DE COLETA</t>
  </si>
  <si>
    <t xml:space="preserve">Total dos percursos Orgânicos </t>
  </si>
  <si>
    <t>Rota</t>
  </si>
  <si>
    <t>Distância: Coleta +  Transporte</t>
  </si>
  <si>
    <t>Rota 1</t>
  </si>
  <si>
    <t>Distância total diária:</t>
  </si>
  <si>
    <t xml:space="preserve">Composição dos Encargos Sociais </t>
  </si>
  <si>
    <t>Composição do BDI - Benefícios e Despesas Indiretas</t>
  </si>
  <si>
    <t>Depreciação Referencial TCE/RS (%)</t>
  </si>
  <si>
    <t>Remuneração de Capital</t>
  </si>
  <si>
    <t>Dimensionamento da frota</t>
  </si>
  <si>
    <t xml:space="preserve">Custo do jogo de pneus </t>
  </si>
  <si>
    <t xml:space="preserve">Custo mensal com Arla </t>
  </si>
  <si>
    <t>Custo de arla (5% do consumo de Óleo Diesel)</t>
  </si>
  <si>
    <t xml:space="preserve">Investimento médio total </t>
  </si>
  <si>
    <t xml:space="preserve">Remuneração mensal de capital </t>
  </si>
  <si>
    <t xml:space="preserve"> TOTAL = ROTAS DE COLETA + TRANSPORTE </t>
  </si>
  <si>
    <t xml:space="preserve">TOTAL MENSAL = ROTAS DE COLETA + TRANSPORTE </t>
  </si>
  <si>
    <t>Frota Reserva 10%</t>
  </si>
  <si>
    <t>Horas/dia</t>
  </si>
  <si>
    <t>Total por Encarregado</t>
  </si>
  <si>
    <t>Orgânica</t>
  </si>
  <si>
    <t xml:space="preserve">Coleta </t>
  </si>
  <si>
    <t>Seletiva</t>
  </si>
  <si>
    <t xml:space="preserve">5. Administração Local </t>
  </si>
  <si>
    <t>6. Monitoramento da Frota</t>
  </si>
  <si>
    <t>7. Benefícios e Despesas Indiretas - BDI</t>
  </si>
  <si>
    <t xml:space="preserve">4. Ferramentas, Materiais de Consumo </t>
  </si>
  <si>
    <t>1.2. Motorista Turno do Dia</t>
  </si>
  <si>
    <t>1.3. Encarregado/Supervisor</t>
  </si>
  <si>
    <t>1.4. Vale Transporte</t>
  </si>
  <si>
    <t>1.5. Vale-refeição (diário)</t>
  </si>
  <si>
    <t xml:space="preserve">Coletor </t>
  </si>
  <si>
    <t>Planilha com os horários dos funcionários coleta de resíduos orgânicos e seletivos</t>
  </si>
  <si>
    <t>1. Esta planilha é somente um modelo-base. Qualquer custo previsto no edital e não contemplado nesta planilha deverá ser devidamente incluído</t>
  </si>
  <si>
    <t>3. As células azuis deverão ter seus valores preenchidos em outra planilha do arquivo.</t>
  </si>
  <si>
    <t>Previsão Toneladas coletadas e enviadas ao aterro sanitário</t>
  </si>
  <si>
    <t>Valores R$</t>
  </si>
  <si>
    <t xml:space="preserve">KG/dia </t>
  </si>
  <si>
    <t xml:space="preserve">Ton/Mês </t>
  </si>
  <si>
    <t xml:space="preserve">Urbana </t>
  </si>
  <si>
    <t xml:space="preserve">Total Geral toneladas ano </t>
  </si>
  <si>
    <t xml:space="preserve">Camiseta manga curta com reflexivo </t>
  </si>
  <si>
    <t xml:space="preserve">Pesagem dos caminhões </t>
  </si>
  <si>
    <t xml:space="preserve">Rota 1 </t>
  </si>
  <si>
    <t>Coleta Rota 1</t>
  </si>
  <si>
    <t xml:space="preserve">Início da Rota - Final da Rota </t>
  </si>
  <si>
    <t xml:space="preserve">Piso da categoria </t>
  </si>
  <si>
    <t>2. Benefícios e Despesas Indiretas - BDI</t>
  </si>
  <si>
    <t>Locais de coleta: Área urbana da cidade</t>
  </si>
  <si>
    <t>DISTÂNCIA ATÉ O ATERRO SANITÁRIO</t>
  </si>
  <si>
    <t>Percurso</t>
  </si>
  <si>
    <t>Sentido</t>
  </si>
  <si>
    <t>Centro de Triagem - Aterro Sanitário</t>
  </si>
  <si>
    <t>Ida</t>
  </si>
  <si>
    <t>Volta</t>
  </si>
  <si>
    <t>Total</t>
  </si>
  <si>
    <t xml:space="preserve">Quantidade de viagens mensais: </t>
  </si>
  <si>
    <t>Rota 2</t>
  </si>
  <si>
    <t>Locais de coleta: Área do interior da cidade</t>
  </si>
  <si>
    <t>Terça</t>
  </si>
  <si>
    <t>Coleta Rota 2</t>
  </si>
  <si>
    <t>Coleta</t>
  </si>
  <si>
    <t>Interior</t>
  </si>
  <si>
    <t>Seletiva Interior</t>
  </si>
  <si>
    <t xml:space="preserve"> Quinta </t>
  </si>
  <si>
    <t xml:space="preserve">  Quinta</t>
  </si>
  <si>
    <t xml:space="preserve">Quilometragem total mensal : </t>
  </si>
  <si>
    <t>Prefeitura Municipal de Tapera</t>
  </si>
  <si>
    <t xml:space="preserve">Prefeitura Municipal de Tapera </t>
  </si>
  <si>
    <t>Rota 3</t>
  </si>
  <si>
    <t>Locais de coleta: Área urbana da cidade + Vila Paz + Distrito Industrial + ...</t>
  </si>
  <si>
    <t>Coleta Rota 3</t>
  </si>
  <si>
    <t xml:space="preserve">  Quarta  </t>
  </si>
  <si>
    <t>Segunda e Sexta</t>
  </si>
  <si>
    <t>Trecho 09</t>
  </si>
  <si>
    <t>Trecho 10</t>
  </si>
  <si>
    <t>Trecho 11</t>
  </si>
  <si>
    <t>Trecho 12</t>
  </si>
  <si>
    <t>9 - 10</t>
  </si>
  <si>
    <t>10 - 11</t>
  </si>
  <si>
    <t>11 - 12</t>
  </si>
  <si>
    <t>12 - 13</t>
  </si>
  <si>
    <t>Segunda e sexta</t>
  </si>
  <si>
    <t xml:space="preserve">Quarta  </t>
  </si>
  <si>
    <t>Quarta - 1ª e 3ª semana do mês</t>
  </si>
  <si>
    <t xml:space="preserve">Rota </t>
  </si>
  <si>
    <t xml:space="preserve">Transp. Até Aterro Sanitário </t>
  </si>
  <si>
    <t>Total Geral Reciclado por mês 15%</t>
  </si>
  <si>
    <t xml:space="preserve">Total Geral toneladas por mês </t>
  </si>
  <si>
    <t>Equipamentos</t>
  </si>
  <si>
    <t>Total de Contentores</t>
  </si>
  <si>
    <t xml:space="preserve">1. Contentores </t>
  </si>
  <si>
    <t>1.1.1. Depreciação</t>
  </si>
  <si>
    <t xml:space="preserve">Custo de aquisição dos contentores </t>
  </si>
  <si>
    <t xml:space="preserve">Vida útil do contentor </t>
  </si>
  <si>
    <t xml:space="preserve">Idade do contentor </t>
  </si>
  <si>
    <t>Depreciação do contentor</t>
  </si>
  <si>
    <t xml:space="preserve">Depreciação mensal contentor </t>
  </si>
  <si>
    <t>Vida útil do compactador</t>
  </si>
  <si>
    <t>Idade do compactador</t>
  </si>
  <si>
    <t>Depreciação do compactador</t>
  </si>
  <si>
    <t>Depreciação mensal do compactador</t>
  </si>
  <si>
    <t xml:space="preserve">Total </t>
  </si>
  <si>
    <t>1.1.2. Remuneração do Capital</t>
  </si>
  <si>
    <t>Custo dos contentores</t>
  </si>
  <si>
    <t>Valor do container proposto (V0)</t>
  </si>
  <si>
    <t xml:space="preserve">Investimento médio total dos contentores </t>
  </si>
  <si>
    <t>Remuneração mensal de capital dos contentores</t>
  </si>
  <si>
    <t>Custo do compactador</t>
  </si>
  <si>
    <t>Investimento médio total do compactador</t>
  </si>
  <si>
    <t>Remuneração mensal de capital do compactador</t>
  </si>
  <si>
    <t>Custo mensal com manutenção, reposição e materiais</t>
  </si>
  <si>
    <t>Custo Total mês c/manutenção, reposição e materiais</t>
  </si>
  <si>
    <t xml:space="preserve">Quantidade de contentores mês: </t>
  </si>
  <si>
    <t>unidades</t>
  </si>
  <si>
    <t>PREÇO POR CONTAINER:  [A/B]</t>
  </si>
  <si>
    <t>R$/UNIDADE</t>
  </si>
  <si>
    <t xml:space="preserve">Custo Unitário por contentor </t>
  </si>
  <si>
    <t xml:space="preserve">Custo de lavagem </t>
  </si>
  <si>
    <t xml:space="preserve">Final da rota - Central de Triagem </t>
  </si>
  <si>
    <t xml:space="preserve"> Central de Triagem - Garagem</t>
  </si>
  <si>
    <t xml:space="preserve">Considerado 05 horas semanais.  </t>
  </si>
  <si>
    <t xml:space="preserve">1.6. Plano de Benefício Social  </t>
  </si>
  <si>
    <t>População Urbana 2023</t>
  </si>
  <si>
    <t>Final da rota - Aterro Sanitário</t>
  </si>
  <si>
    <t>Aterro Sanitário - Garagem</t>
  </si>
  <si>
    <t xml:space="preserve">1 vez por semana </t>
  </si>
  <si>
    <t>Rota 4</t>
  </si>
  <si>
    <t>Locais de coleta: Área urbana da cidade/ruas comerciais</t>
  </si>
  <si>
    <t xml:space="preserve">Garagem - Início da Rota </t>
  </si>
  <si>
    <t>Coleta Rota 4</t>
  </si>
  <si>
    <t>Sábado</t>
  </si>
  <si>
    <t xml:space="preserve">Resumo do Percurso - Coleta do Orgânico </t>
  </si>
  <si>
    <t>Resumo do Percurso - Coleta do Seletivo</t>
  </si>
  <si>
    <t xml:space="preserve">Resumo do Percurso - Coleta do Seletivo do Interior  </t>
  </si>
  <si>
    <t>Total dos percursos Seletivos e Interior</t>
  </si>
  <si>
    <t xml:space="preserve">Mês </t>
  </si>
  <si>
    <t xml:space="preserve">Kgs mês </t>
  </si>
  <si>
    <t>TOTAL:</t>
  </si>
  <si>
    <t xml:space="preserve">Média Ton/Mês </t>
  </si>
  <si>
    <t>Periodicidade: Segunda a sábado</t>
  </si>
  <si>
    <t>Coleta e transporte de resíduos orgânicos e seletivos</t>
  </si>
  <si>
    <t>PO R$</t>
  </si>
  <si>
    <t>Camiseta manga longa com reflexivo</t>
  </si>
  <si>
    <t>Colete reflexivo</t>
  </si>
  <si>
    <t>Custo mensal com veículo de apoio 15kms dia</t>
  </si>
  <si>
    <t>2- Higienização de Contentores</t>
  </si>
  <si>
    <t xml:space="preserve">PREÇO TOTAL MENSAL COM A HIGIENIZAÇÃO </t>
  </si>
  <si>
    <t xml:space="preserve">Higienização de Contentores </t>
  </si>
  <si>
    <t>Período: Realizado 2024 e 2025</t>
  </si>
  <si>
    <t>1.6. Seguro de Vida e Vale Alimentação (mensal)</t>
  </si>
  <si>
    <t>Seguro de vida (motorista)</t>
  </si>
  <si>
    <t>Vale Alimentação (motorista)</t>
  </si>
  <si>
    <t>1ª e 3ª quinta do mês</t>
  </si>
  <si>
    <t xml:space="preserve">Cargo: Coletor de resíduos orgânicos e seletivos </t>
  </si>
  <si>
    <t>Cargo: Motorista da coleta do lixo orgânico e seletivo</t>
  </si>
  <si>
    <t xml:space="preserve"> Aterro Sanitário - Garagem</t>
  </si>
  <si>
    <t xml:space="preserve">Bermudas </t>
  </si>
  <si>
    <t>Chapeu ou Boné tipo arabé</t>
  </si>
  <si>
    <t>Botina de segurança, ou tênis</t>
  </si>
  <si>
    <t xml:space="preserve">Óculos de proteção de radiação solar </t>
  </si>
  <si>
    <t xml:space="preserve">1.1.1 higienização dos contentores </t>
  </si>
  <si>
    <t xml:space="preserve">Custo mensal com higienização de contentores </t>
  </si>
  <si>
    <t xml:space="preserve">Média kg Mês </t>
  </si>
  <si>
    <t xml:space="preserve">Previsão de Toneladas de resíduos coletados </t>
  </si>
  <si>
    <t>Resumo Custo de Serviços de Coleta de Resíduos Orgânicos e Seletivos Domiciliares</t>
  </si>
  <si>
    <t>Tapera, 22 de outubro de 2025</t>
  </si>
  <si>
    <t xml:space="preserve">ECZ, Assessoria, Consultoria e Treinamento Ltda </t>
  </si>
  <si>
    <t>1. Coleta e Transportes de Resíduos Orgânicos e Seletivos Domiciliares</t>
  </si>
  <si>
    <t>Vassoura (02 unid)</t>
  </si>
</sst>
</file>

<file path=xl/styles.xml><?xml version="1.0" encoding="utf-8"?>
<styleSheet xmlns="http://schemas.openxmlformats.org/spreadsheetml/2006/main">
  <numFmts count="18">
    <numFmt numFmtId="43" formatCode="_ * #,##0.00_ ;_ * \-#,##0.00_ ;_ * &quot;-&quot;??_ ;_ @_ 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&quot;R$ &quot;#,##0.00_);\(&quot;R$ &quot;#,##0.00\)"/>
    <numFmt numFmtId="167" formatCode="_(* #,##0.00_);_(* \(#,##0.00\);_(* &quot;-&quot;??_);_(@_)"/>
    <numFmt numFmtId="168" formatCode="_(* #,##0_);_(* \(#,##0\);_(* &quot;-&quot;??_);_(@_)"/>
    <numFmt numFmtId="169" formatCode="_(* #,##0.000_);_(* \(#,##0.000\);_(* &quot;-&quot;??_);_(@_)"/>
    <numFmt numFmtId="170" formatCode="&quot;R$ &quot;#,##0.00"/>
    <numFmt numFmtId="171" formatCode="0.0000"/>
    <numFmt numFmtId="172" formatCode="_-* #,##0.00_-;\-* #,##0.00_-;_-* &quot;-&quot;?_-;_-@_-"/>
    <numFmt numFmtId="173" formatCode="_-* #,##0.0_-;\-* #,##0.0_-;_-* &quot;-&quot;??_-;_-@_-"/>
    <numFmt numFmtId="174" formatCode="_(* #,##0.0000_);_(* \(#,##0.0000\);_(* &quot;-&quot;??_);_(@_)"/>
    <numFmt numFmtId="175" formatCode="0.0"/>
    <numFmt numFmtId="176" formatCode="0.000"/>
    <numFmt numFmtId="177" formatCode="_-* #,##0_-;\-* #,##0_-;_-* &quot;-&quot;??_-;_-@_-"/>
    <numFmt numFmtId="178" formatCode="_(* #,##0.0_);_(* \(#,##0.0\);_(* &quot;-&quot;??_);_(@_)"/>
    <numFmt numFmtId="179" formatCode="_-* #,##0.0_-;\-* #,##0.0_-;_-* &quot;-&quot;?_-;_-@_-"/>
    <numFmt numFmtId="180" formatCode="_-* #,##0.0000_-;\-* #,##0.0000_-;_-* &quot;-&quot;??_-;_-@_-"/>
  </numFmts>
  <fonts count="6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Tahoma"/>
      <family val="2"/>
    </font>
    <font>
      <sz val="12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76">
    <xf numFmtId="0" fontId="0" fillId="0" borderId="0"/>
    <xf numFmtId="0" fontId="40" fillId="0" borderId="0" applyNumberFormat="0" applyFill="0" applyBorder="0" applyAlignment="0" applyProtection="0">
      <alignment vertical="top"/>
      <protection locked="0"/>
    </xf>
    <xf numFmtId="9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0" fontId="32" fillId="0" borderId="0"/>
    <xf numFmtId="165" fontId="32" fillId="0" borderId="0" applyFont="0" applyFill="0" applyBorder="0" applyAlignment="0" applyProtection="0"/>
    <xf numFmtId="164" fontId="33" fillId="0" borderId="0" applyFont="0" applyFill="0" applyBorder="0" applyAlignment="0" applyProtection="0"/>
    <xf numFmtId="173" fontId="58" fillId="0" borderId="0" applyFont="0" applyFill="0" applyBorder="0" applyAlignment="0" applyProtection="0"/>
    <xf numFmtId="0" fontId="32" fillId="0" borderId="0"/>
    <xf numFmtId="0" fontId="33" fillId="0" borderId="0"/>
    <xf numFmtId="0" fontId="58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9" fontId="58" fillId="0" borderId="0" applyFont="0" applyFill="0" applyBorder="0" applyAlignment="0" applyProtection="0"/>
    <xf numFmtId="9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1" fillId="0" borderId="0"/>
    <xf numFmtId="0" fontId="30" fillId="0" borderId="0"/>
    <xf numFmtId="0" fontId="30" fillId="0" borderId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29" fillId="0" borderId="0"/>
    <xf numFmtId="165" fontId="29" fillId="0" borderId="0" applyFont="0" applyFill="0" applyBorder="0" applyAlignment="0" applyProtection="0"/>
    <xf numFmtId="0" fontId="28" fillId="0" borderId="0"/>
    <xf numFmtId="165" fontId="28" fillId="0" borderId="0" applyFont="0" applyFill="0" applyBorder="0" applyAlignment="0" applyProtection="0"/>
    <xf numFmtId="0" fontId="27" fillId="0" borderId="0"/>
    <xf numFmtId="165" fontId="27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165" fontId="25" fillId="0" borderId="0" applyFont="0" applyFill="0" applyBorder="0" applyAlignment="0" applyProtection="0"/>
    <xf numFmtId="0" fontId="24" fillId="0" borderId="0"/>
    <xf numFmtId="167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23" fillId="0" borderId="0"/>
    <xf numFmtId="165" fontId="23" fillId="0" borderId="0" applyFont="0" applyFill="0" applyBorder="0" applyAlignment="0" applyProtection="0"/>
    <xf numFmtId="0" fontId="22" fillId="0" borderId="0"/>
    <xf numFmtId="165" fontId="22" fillId="0" borderId="0" applyFont="0" applyFill="0" applyBorder="0" applyAlignment="0" applyProtection="0"/>
    <xf numFmtId="0" fontId="21" fillId="0" borderId="0"/>
    <xf numFmtId="165" fontId="21" fillId="0" borderId="0" applyFont="0" applyFill="0" applyBorder="0" applyAlignment="0" applyProtection="0"/>
    <xf numFmtId="0" fontId="20" fillId="0" borderId="0"/>
    <xf numFmtId="0" fontId="19" fillId="0" borderId="0"/>
    <xf numFmtId="165" fontId="19" fillId="0" borderId="0" applyFont="0" applyFill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0" fontId="17" fillId="0" borderId="0"/>
    <xf numFmtId="165" fontId="17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/>
    <xf numFmtId="165" fontId="16" fillId="0" borderId="0" applyFont="0" applyFill="0" applyBorder="0" applyAlignment="0" applyProtection="0"/>
    <xf numFmtId="0" fontId="14" fillId="0" borderId="0"/>
    <xf numFmtId="0" fontId="13" fillId="0" borderId="0"/>
    <xf numFmtId="0" fontId="12" fillId="0" borderId="0"/>
    <xf numFmtId="4" fontId="33" fillId="0" borderId="0"/>
    <xf numFmtId="0" fontId="9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643">
    <xf numFmtId="0" fontId="0" fillId="0" borderId="0" xfId="0"/>
    <xf numFmtId="0" fontId="38" fillId="0" borderId="0" xfId="0" applyFont="1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7" fontId="0" fillId="0" borderId="0" xfId="3" applyFont="1" applyAlignment="1">
      <alignment vertical="center"/>
    </xf>
    <xf numFmtId="0" fontId="33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167" fontId="38" fillId="0" borderId="0" xfId="3" applyFont="1" applyAlignment="1">
      <alignment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8" fillId="0" borderId="2" xfId="0" applyFont="1" applyBorder="1" applyAlignment="1">
      <alignment vertical="center"/>
    </xf>
    <xf numFmtId="0" fontId="38" fillId="0" borderId="2" xfId="0" applyFont="1" applyBorder="1" applyAlignment="1">
      <alignment horizontal="center" vertical="center"/>
    </xf>
    <xf numFmtId="167" fontId="38" fillId="0" borderId="2" xfId="3" applyFont="1" applyBorder="1" applyAlignment="1">
      <alignment horizontal="center" vertical="center"/>
    </xf>
    <xf numFmtId="0" fontId="38" fillId="0" borderId="1" xfId="0" applyFont="1" applyBorder="1" applyAlignment="1">
      <alignment vertical="center"/>
    </xf>
    <xf numFmtId="0" fontId="38" fillId="0" borderId="1" xfId="0" applyFont="1" applyBorder="1" applyAlignment="1">
      <alignment horizontal="center" vertical="center"/>
    </xf>
    <xf numFmtId="167" fontId="38" fillId="0" borderId="1" xfId="3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167" fontId="38" fillId="0" borderId="0" xfId="3" applyFont="1" applyAlignment="1">
      <alignment horizontal="center" vertical="center"/>
    </xf>
    <xf numFmtId="167" fontId="35" fillId="2" borderId="4" xfId="3" applyFont="1" applyFill="1" applyBorder="1" applyAlignment="1">
      <alignment horizontal="center" vertical="center"/>
    </xf>
    <xf numFmtId="167" fontId="35" fillId="2" borderId="4" xfId="3" applyFont="1" applyFill="1" applyBorder="1" applyAlignment="1">
      <alignment vertical="center"/>
    </xf>
    <xf numFmtId="167" fontId="35" fillId="0" borderId="0" xfId="3" applyFont="1" applyFill="1" applyBorder="1" applyAlignment="1">
      <alignment vertical="center"/>
    </xf>
    <xf numFmtId="0" fontId="35" fillId="0" borderId="5" xfId="0" applyFont="1" applyBorder="1" applyAlignment="1">
      <alignment vertical="center"/>
    </xf>
    <xf numFmtId="0" fontId="35" fillId="0" borderId="6" xfId="0" applyFont="1" applyBorder="1" applyAlignment="1">
      <alignment vertical="center"/>
    </xf>
    <xf numFmtId="167" fontId="35" fillId="0" borderId="6" xfId="3" applyFont="1" applyBorder="1" applyAlignment="1">
      <alignment vertical="center"/>
    </xf>
    <xf numFmtId="167" fontId="35" fillId="0" borderId="7" xfId="3" applyFont="1" applyBorder="1" applyAlignment="1">
      <alignment vertical="center"/>
    </xf>
    <xf numFmtId="0" fontId="38" fillId="0" borderId="6" xfId="0" applyFont="1" applyBorder="1" applyAlignment="1">
      <alignment vertical="center"/>
    </xf>
    <xf numFmtId="167" fontId="38" fillId="0" borderId="6" xfId="3" applyFont="1" applyBorder="1" applyAlignment="1">
      <alignment vertical="center"/>
    </xf>
    <xf numFmtId="167" fontId="38" fillId="0" borderId="7" xfId="3" applyFont="1" applyBorder="1" applyAlignment="1">
      <alignment vertical="center"/>
    </xf>
    <xf numFmtId="167" fontId="35" fillId="0" borderId="0" xfId="3" applyFont="1" applyBorder="1" applyAlignment="1">
      <alignment horizontal="center" vertical="center"/>
    </xf>
    <xf numFmtId="3" fontId="38" fillId="0" borderId="0" xfId="0" applyNumberFormat="1" applyFont="1" applyAlignment="1">
      <alignment vertical="center"/>
    </xf>
    <xf numFmtId="167" fontId="35" fillId="0" borderId="0" xfId="3" applyFont="1" applyFill="1" applyBorder="1" applyAlignment="1">
      <alignment horizontal="center" vertical="center"/>
    </xf>
    <xf numFmtId="167" fontId="35" fillId="0" borderId="0" xfId="3" applyFont="1" applyBorder="1" applyAlignment="1">
      <alignment vertical="center"/>
    </xf>
    <xf numFmtId="167" fontId="37" fillId="0" borderId="0" xfId="3" applyFont="1" applyAlignment="1">
      <alignment vertical="center"/>
    </xf>
    <xf numFmtId="168" fontId="38" fillId="0" borderId="1" xfId="3" applyNumberFormat="1" applyFont="1" applyBorder="1" applyAlignment="1">
      <alignment vertical="center"/>
    </xf>
    <xf numFmtId="167" fontId="38" fillId="0" borderId="0" xfId="3" applyFont="1"/>
    <xf numFmtId="167" fontId="36" fillId="0" borderId="0" xfId="3" applyFont="1" applyAlignment="1">
      <alignment vertical="center"/>
    </xf>
    <xf numFmtId="167" fontId="0" fillId="0" borderId="11" xfId="3" applyFont="1" applyBorder="1" applyAlignment="1">
      <alignment vertical="center"/>
    </xf>
    <xf numFmtId="167" fontId="35" fillId="0" borderId="12" xfId="3" applyFont="1" applyBorder="1" applyAlignment="1">
      <alignment horizontal="center" vertical="center"/>
    </xf>
    <xf numFmtId="167" fontId="35" fillId="0" borderId="5" xfId="3" applyFont="1" applyBorder="1" applyAlignment="1">
      <alignment horizontal="left" vertical="center"/>
    </xf>
    <xf numFmtId="4" fontId="35" fillId="0" borderId="6" xfId="0" applyNumberFormat="1" applyFont="1" applyBorder="1" applyAlignment="1">
      <alignment horizontal="centerContinuous" vertical="center"/>
    </xf>
    <xf numFmtId="167" fontId="35" fillId="0" borderId="0" xfId="3" applyFont="1" applyAlignment="1">
      <alignment vertical="center"/>
    </xf>
    <xf numFmtId="167" fontId="0" fillId="0" borderId="9" xfId="0" applyNumberFormat="1" applyBorder="1" applyAlignment="1">
      <alignment vertical="center"/>
    </xf>
    <xf numFmtId="4" fontId="0" fillId="0" borderId="9" xfId="0" applyNumberFormat="1" applyBorder="1" applyAlignment="1">
      <alignment horizontal="centerContinuous" vertical="center"/>
    </xf>
    <xf numFmtId="167" fontId="0" fillId="0" borderId="9" xfId="3" applyFont="1" applyBorder="1" applyAlignment="1">
      <alignment vertical="center"/>
    </xf>
    <xf numFmtId="167" fontId="35" fillId="0" borderId="13" xfId="3" applyFont="1" applyBorder="1" applyAlignment="1">
      <alignment horizontal="right" vertical="center"/>
    </xf>
    <xf numFmtId="167" fontId="0" fillId="0" borderId="14" xfId="3" applyFont="1" applyBorder="1" applyAlignment="1">
      <alignment vertical="center"/>
    </xf>
    <xf numFmtId="167" fontId="38" fillId="0" borderId="1" xfId="3" applyFont="1" applyBorder="1" applyAlignment="1">
      <alignment vertical="center"/>
    </xf>
    <xf numFmtId="0" fontId="43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/>
    </xf>
    <xf numFmtId="167" fontId="38" fillId="0" borderId="0" xfId="3" applyFont="1" applyFill="1" applyBorder="1" applyAlignment="1">
      <alignment horizontal="center" vertical="center"/>
    </xf>
    <xf numFmtId="0" fontId="36" fillId="0" borderId="0" xfId="0" applyFont="1" applyAlignment="1">
      <alignment vertical="center"/>
    </xf>
    <xf numFmtId="167" fontId="36" fillId="0" borderId="0" xfId="3" applyFont="1" applyBorder="1" applyAlignment="1">
      <alignment vertical="center"/>
    </xf>
    <xf numFmtId="10" fontId="0" fillId="0" borderId="15" xfId="2" applyNumberFormat="1" applyFont="1" applyBorder="1" applyAlignment="1">
      <alignment vertical="center"/>
    </xf>
    <xf numFmtId="167" fontId="38" fillId="0" borderId="0" xfId="3" applyFont="1" applyBorder="1" applyAlignment="1">
      <alignment vertical="center"/>
    </xf>
    <xf numFmtId="0" fontId="45" fillId="2" borderId="16" xfId="0" applyFont="1" applyFill="1" applyBorder="1" applyAlignment="1">
      <alignment horizontal="center" vertical="center"/>
    </xf>
    <xf numFmtId="0" fontId="45" fillId="2" borderId="17" xfId="0" applyFont="1" applyFill="1" applyBorder="1" applyAlignment="1">
      <alignment horizontal="center" vertical="center"/>
    </xf>
    <xf numFmtId="167" fontId="45" fillId="2" borderId="17" xfId="3" applyFont="1" applyFill="1" applyBorder="1" applyAlignment="1">
      <alignment horizontal="center" vertical="center"/>
    </xf>
    <xf numFmtId="167" fontId="45" fillId="2" borderId="18" xfId="3" applyFont="1" applyFill="1" applyBorder="1" applyAlignment="1">
      <alignment horizontal="center" vertical="center"/>
    </xf>
    <xf numFmtId="167" fontId="35" fillId="0" borderId="19" xfId="3" applyFont="1" applyBorder="1" applyAlignment="1">
      <alignment horizontal="center" vertical="center"/>
    </xf>
    <xf numFmtId="167" fontId="33" fillId="0" borderId="14" xfId="3" applyFont="1" applyBorder="1" applyAlignment="1">
      <alignment horizontal="left" vertical="center"/>
    </xf>
    <xf numFmtId="167" fontId="38" fillId="0" borderId="9" xfId="3" applyFont="1" applyBorder="1" applyAlignment="1">
      <alignment vertical="center"/>
    </xf>
    <xf numFmtId="167" fontId="38" fillId="0" borderId="14" xfId="3" applyFont="1" applyBorder="1" applyAlignment="1">
      <alignment vertical="center"/>
    </xf>
    <xf numFmtId="168" fontId="38" fillId="0" borderId="0" xfId="3" applyNumberFormat="1" applyFont="1" applyBorder="1" applyAlignment="1">
      <alignment horizontal="center" vertical="center"/>
    </xf>
    <xf numFmtId="1" fontId="38" fillId="0" borderId="1" xfId="0" applyNumberFormat="1" applyFont="1" applyBorder="1" applyAlignment="1">
      <alignment horizontal="center" vertical="center"/>
    </xf>
    <xf numFmtId="1" fontId="38" fillId="0" borderId="20" xfId="3" applyNumberFormat="1" applyFont="1" applyBorder="1" applyAlignment="1">
      <alignment horizontal="center" vertical="center"/>
    </xf>
    <xf numFmtId="167" fontId="35" fillId="0" borderId="28" xfId="3" applyFont="1" applyBorder="1" applyAlignment="1">
      <alignment vertical="center"/>
    </xf>
    <xf numFmtId="4" fontId="35" fillId="0" borderId="29" xfId="0" applyNumberFormat="1" applyFont="1" applyBorder="1" applyAlignment="1">
      <alignment vertical="center"/>
    </xf>
    <xf numFmtId="167" fontId="38" fillId="0" borderId="19" xfId="3" applyFont="1" applyBorder="1" applyAlignment="1">
      <alignment vertical="center"/>
    </xf>
    <xf numFmtId="167" fontId="38" fillId="0" borderId="11" xfId="3" applyFont="1" applyBorder="1" applyAlignment="1">
      <alignment vertical="center"/>
    </xf>
    <xf numFmtId="0" fontId="0" fillId="0" borderId="11" xfId="0" applyBorder="1" applyAlignment="1">
      <alignment vertical="center"/>
    </xf>
    <xf numFmtId="1" fontId="38" fillId="0" borderId="12" xfId="3" applyNumberFormat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29" xfId="0" applyBorder="1" applyAlignment="1">
      <alignment vertical="center"/>
    </xf>
    <xf numFmtId="1" fontId="35" fillId="0" borderId="31" xfId="3" applyNumberFormat="1" applyFont="1" applyBorder="1" applyAlignment="1">
      <alignment horizontal="center" vertical="center"/>
    </xf>
    <xf numFmtId="167" fontId="44" fillId="0" borderId="1" xfId="3" applyFont="1" applyBorder="1" applyAlignment="1">
      <alignment horizontal="center" vertical="center"/>
    </xf>
    <xf numFmtId="167" fontId="38" fillId="0" borderId="1" xfId="3" applyFont="1" applyFill="1" applyBorder="1" applyAlignment="1">
      <alignment horizontal="center" vertical="center"/>
    </xf>
    <xf numFmtId="167" fontId="43" fillId="0" borderId="0" xfId="3" applyFont="1" applyAlignment="1">
      <alignment vertical="center"/>
    </xf>
    <xf numFmtId="165" fontId="38" fillId="0" borderId="0" xfId="0" applyNumberFormat="1" applyFont="1" applyAlignment="1">
      <alignment vertical="center"/>
    </xf>
    <xf numFmtId="0" fontId="38" fillId="3" borderId="1" xfId="0" applyFont="1" applyFill="1" applyBorder="1" applyAlignment="1">
      <alignment horizontal="center" vertical="center"/>
    </xf>
    <xf numFmtId="167" fontId="38" fillId="3" borderId="2" xfId="3" applyFont="1" applyFill="1" applyBorder="1" applyAlignment="1">
      <alignment horizontal="center" vertical="center"/>
    </xf>
    <xf numFmtId="2" fontId="38" fillId="3" borderId="1" xfId="0" applyNumberFormat="1" applyFont="1" applyFill="1" applyBorder="1" applyAlignment="1">
      <alignment horizontal="center" vertical="center"/>
    </xf>
    <xf numFmtId="167" fontId="38" fillId="3" borderId="1" xfId="3" applyFont="1" applyFill="1" applyBorder="1" applyAlignment="1">
      <alignment horizontal="center" vertical="center"/>
    </xf>
    <xf numFmtId="1" fontId="38" fillId="3" borderId="1" xfId="0" applyNumberFormat="1" applyFont="1" applyFill="1" applyBorder="1" applyAlignment="1">
      <alignment horizontal="center" vertical="center"/>
    </xf>
    <xf numFmtId="0" fontId="38" fillId="3" borderId="0" xfId="0" applyFont="1" applyFill="1" applyAlignment="1">
      <alignment vertical="center"/>
    </xf>
    <xf numFmtId="167" fontId="38" fillId="3" borderId="0" xfId="3" applyFont="1" applyFill="1" applyAlignment="1">
      <alignment vertical="center"/>
    </xf>
    <xf numFmtId="0" fontId="38" fillId="0" borderId="0" xfId="0" applyFont="1" applyAlignment="1">
      <alignment horizontal="right" vertical="center"/>
    </xf>
    <xf numFmtId="168" fontId="38" fillId="0" borderId="1" xfId="3" applyNumberFormat="1" applyFont="1" applyBorder="1" applyAlignment="1">
      <alignment horizontal="center" vertical="center"/>
    </xf>
    <xf numFmtId="0" fontId="38" fillId="3" borderId="2" xfId="0" applyFont="1" applyFill="1" applyBorder="1" applyAlignment="1">
      <alignment horizontal="center" vertical="center"/>
    </xf>
    <xf numFmtId="3" fontId="38" fillId="3" borderId="1" xfId="0" applyNumberFormat="1" applyFont="1" applyFill="1" applyBorder="1" applyAlignment="1">
      <alignment horizontal="center" vertical="center"/>
    </xf>
    <xf numFmtId="13" fontId="38" fillId="3" borderId="1" xfId="0" applyNumberFormat="1" applyFont="1" applyFill="1" applyBorder="1" applyAlignment="1">
      <alignment horizontal="center" vertical="center"/>
    </xf>
    <xf numFmtId="168" fontId="38" fillId="0" borderId="1" xfId="3" applyNumberFormat="1" applyFont="1" applyFill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35" fillId="0" borderId="1" xfId="0" applyFont="1" applyBorder="1" applyAlignment="1">
      <alignment horizontal="center" vertical="center"/>
    </xf>
    <xf numFmtId="167" fontId="35" fillId="0" borderId="1" xfId="3" applyFont="1" applyBorder="1" applyAlignment="1">
      <alignment horizontal="center" vertical="center"/>
    </xf>
    <xf numFmtId="167" fontId="38" fillId="0" borderId="2" xfId="3" applyFont="1" applyFill="1" applyBorder="1" applyAlignment="1">
      <alignment horizontal="center" vertical="center"/>
    </xf>
    <xf numFmtId="0" fontId="40" fillId="0" borderId="0" xfId="1" applyAlignment="1" applyProtection="1">
      <alignment vertical="center"/>
    </xf>
    <xf numFmtId="0" fontId="35" fillId="0" borderId="0" xfId="0" applyFont="1"/>
    <xf numFmtId="0" fontId="45" fillId="2" borderId="32" xfId="0" applyFont="1" applyFill="1" applyBorder="1" applyAlignment="1">
      <alignment horizontal="center" vertical="center"/>
    </xf>
    <xf numFmtId="0" fontId="45" fillId="2" borderId="33" xfId="0" applyFont="1" applyFill="1" applyBorder="1" applyAlignment="1">
      <alignment horizontal="center" vertical="center"/>
    </xf>
    <xf numFmtId="167" fontId="45" fillId="2" borderId="33" xfId="3" applyFont="1" applyFill="1" applyBorder="1" applyAlignment="1">
      <alignment horizontal="center" vertical="center"/>
    </xf>
    <xf numFmtId="167" fontId="38" fillId="0" borderId="0" xfId="3" applyFont="1" applyFill="1" applyAlignment="1">
      <alignment vertical="center"/>
    </xf>
    <xf numFmtId="167" fontId="35" fillId="0" borderId="1" xfId="3" applyFont="1" applyFill="1" applyBorder="1" applyAlignment="1">
      <alignment horizontal="center" vertical="center"/>
    </xf>
    <xf numFmtId="166" fontId="35" fillId="0" borderId="34" xfId="0" applyNumberFormat="1" applyFont="1" applyBorder="1" applyAlignment="1">
      <alignment vertical="center"/>
    </xf>
    <xf numFmtId="167" fontId="35" fillId="0" borderId="35" xfId="3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5" fillId="0" borderId="0" xfId="0" applyFont="1" applyAlignment="1">
      <alignment horizontal="center" vertical="center"/>
    </xf>
    <xf numFmtId="167" fontId="35" fillId="0" borderId="0" xfId="3" applyFont="1" applyAlignment="1">
      <alignment horizontal="center" vertical="center"/>
    </xf>
    <xf numFmtId="167" fontId="35" fillId="0" borderId="3" xfId="3" applyFont="1" applyBorder="1" applyAlignment="1">
      <alignment horizontal="center" vertical="center"/>
    </xf>
    <xf numFmtId="0" fontId="0" fillId="0" borderId="0" xfId="0" applyAlignment="1">
      <alignment horizontal="center"/>
    </xf>
    <xf numFmtId="167" fontId="38" fillId="0" borderId="0" xfId="3" applyFont="1" applyAlignment="1">
      <alignment horizontal="right" vertical="center"/>
    </xf>
    <xf numFmtId="167" fontId="35" fillId="2" borderId="7" xfId="3" applyFont="1" applyFill="1" applyBorder="1" applyAlignment="1">
      <alignment horizontal="center" vertical="center"/>
    </xf>
    <xf numFmtId="167" fontId="35" fillId="0" borderId="14" xfId="3" applyFont="1" applyBorder="1" applyAlignment="1">
      <alignment vertical="center"/>
    </xf>
    <xf numFmtId="167" fontId="35" fillId="0" borderId="9" xfId="0" applyNumberFormat="1" applyFont="1" applyBorder="1" applyAlignment="1">
      <alignment vertical="center"/>
    </xf>
    <xf numFmtId="167" fontId="35" fillId="0" borderId="9" xfId="3" applyFont="1" applyBorder="1" applyAlignment="1">
      <alignment vertical="center"/>
    </xf>
    <xf numFmtId="10" fontId="35" fillId="0" borderId="15" xfId="2" applyNumberFormat="1" applyFont="1" applyBorder="1" applyAlignment="1">
      <alignment vertical="center"/>
    </xf>
    <xf numFmtId="167" fontId="35" fillId="0" borderId="38" xfId="3" applyFont="1" applyBorder="1" applyAlignment="1">
      <alignment vertical="center"/>
    </xf>
    <xf numFmtId="4" fontId="35" fillId="0" borderId="0" xfId="0" applyNumberFormat="1" applyFont="1" applyAlignment="1">
      <alignment vertical="center"/>
    </xf>
    <xf numFmtId="167" fontId="38" fillId="0" borderId="39" xfId="3" applyFont="1" applyBorder="1" applyAlignment="1">
      <alignment vertical="center"/>
    </xf>
    <xf numFmtId="167" fontId="38" fillId="0" borderId="40" xfId="3" applyFont="1" applyBorder="1" applyAlignment="1">
      <alignment vertical="center"/>
    </xf>
    <xf numFmtId="167" fontId="38" fillId="0" borderId="41" xfId="3" applyFont="1" applyBorder="1" applyAlignment="1">
      <alignment vertical="center"/>
    </xf>
    <xf numFmtId="0" fontId="38" fillId="0" borderId="41" xfId="0" applyFont="1" applyBorder="1" applyAlignment="1">
      <alignment vertical="center"/>
    </xf>
    <xf numFmtId="1" fontId="38" fillId="0" borderId="37" xfId="3" applyNumberFormat="1" applyFont="1" applyBorder="1" applyAlignment="1">
      <alignment horizontal="center" vertical="center"/>
    </xf>
    <xf numFmtId="167" fontId="35" fillId="0" borderId="14" xfId="3" applyFont="1" applyBorder="1" applyAlignment="1">
      <alignment horizontal="left" vertical="center"/>
    </xf>
    <xf numFmtId="4" fontId="35" fillId="0" borderId="9" xfId="0" applyNumberFormat="1" applyFont="1" applyBorder="1" applyAlignment="1">
      <alignment horizontal="centerContinuous" vertical="center"/>
    </xf>
    <xf numFmtId="4" fontId="38" fillId="0" borderId="0" xfId="0" applyNumberFormat="1" applyFont="1" applyAlignment="1">
      <alignment vertical="center"/>
    </xf>
    <xf numFmtId="167" fontId="38" fillId="6" borderId="1" xfId="3" applyFont="1" applyFill="1" applyBorder="1" applyAlignment="1">
      <alignment horizontal="center" vertical="center"/>
    </xf>
    <xf numFmtId="167" fontId="38" fillId="6" borderId="1" xfId="3" applyFont="1" applyFill="1" applyBorder="1" applyAlignment="1">
      <alignment vertical="center"/>
    </xf>
    <xf numFmtId="9" fontId="35" fillId="0" borderId="18" xfId="2" applyFont="1" applyBorder="1" applyAlignment="1">
      <alignment vertical="center"/>
    </xf>
    <xf numFmtId="10" fontId="38" fillId="0" borderId="15" xfId="2" applyNumberFormat="1" applyFont="1" applyBorder="1" applyAlignment="1">
      <alignment vertical="center"/>
    </xf>
    <xf numFmtId="0" fontId="37" fillId="0" borderId="0" xfId="0" applyFont="1"/>
    <xf numFmtId="0" fontId="37" fillId="0" borderId="0" xfId="0" applyFont="1" applyAlignment="1">
      <alignment horizontal="center"/>
    </xf>
    <xf numFmtId="167" fontId="38" fillId="0" borderId="1" xfId="0" applyNumberFormat="1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0" fillId="0" borderId="38" xfId="0" applyBorder="1" applyAlignment="1">
      <alignment vertical="center"/>
    </xf>
    <xf numFmtId="167" fontId="0" fillId="0" borderId="0" xfId="3" applyFont="1" applyFill="1" applyBorder="1" applyAlignment="1">
      <alignment vertical="center"/>
    </xf>
    <xf numFmtId="167" fontId="0" fillId="0" borderId="39" xfId="3" applyFont="1" applyFill="1" applyBorder="1" applyAlignment="1">
      <alignment vertical="center"/>
    </xf>
    <xf numFmtId="168" fontId="35" fillId="0" borderId="0" xfId="3" applyNumberFormat="1" applyFont="1" applyBorder="1" applyAlignment="1">
      <alignment horizontal="center" vertical="center"/>
    </xf>
    <xf numFmtId="2" fontId="48" fillId="7" borderId="1" xfId="0" applyNumberFormat="1" applyFont="1" applyFill="1" applyBorder="1" applyAlignment="1">
      <alignment horizontal="right" vertical="center"/>
    </xf>
    <xf numFmtId="0" fontId="48" fillId="0" borderId="23" xfId="0" applyFont="1" applyBorder="1" applyAlignment="1">
      <alignment horizontal="center" vertical="center"/>
    </xf>
    <xf numFmtId="0" fontId="48" fillId="0" borderId="24" xfId="0" applyFont="1" applyBorder="1" applyAlignment="1">
      <alignment horizontal="center" vertical="center"/>
    </xf>
    <xf numFmtId="2" fontId="48" fillId="7" borderId="36" xfId="0" applyNumberFormat="1" applyFont="1" applyFill="1" applyBorder="1" applyAlignment="1">
      <alignment horizontal="right" vertical="center"/>
    </xf>
    <xf numFmtId="0" fontId="48" fillId="0" borderId="23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8" fillId="0" borderId="20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10" fontId="48" fillId="0" borderId="20" xfId="0" applyNumberFormat="1" applyFont="1" applyBorder="1" applyAlignment="1">
      <alignment horizontal="right" vertical="center"/>
    </xf>
    <xf numFmtId="0" fontId="52" fillId="0" borderId="1" xfId="0" applyFont="1" applyBorder="1" applyAlignment="1">
      <alignment horizontal="left" vertical="center"/>
    </xf>
    <xf numFmtId="10" fontId="52" fillId="0" borderId="20" xfId="0" applyNumberFormat="1" applyFont="1" applyBorder="1" applyAlignment="1">
      <alignment horizontal="right" vertical="center"/>
    </xf>
    <xf numFmtId="0" fontId="48" fillId="5" borderId="23" xfId="0" applyFont="1" applyFill="1" applyBorder="1" applyAlignment="1">
      <alignment horizontal="left" vertical="center"/>
    </xf>
    <xf numFmtId="0" fontId="52" fillId="5" borderId="1" xfId="0" applyFont="1" applyFill="1" applyBorder="1" applyAlignment="1">
      <alignment horizontal="left" vertical="center"/>
    </xf>
    <xf numFmtId="10" fontId="52" fillId="5" borderId="20" xfId="0" applyNumberFormat="1" applyFont="1" applyFill="1" applyBorder="1" applyAlignment="1">
      <alignment horizontal="right" vertical="center"/>
    </xf>
    <xf numFmtId="0" fontId="53" fillId="0" borderId="1" xfId="0" applyFont="1" applyBorder="1" applyAlignment="1">
      <alignment horizontal="left" vertical="center"/>
    </xf>
    <xf numFmtId="0" fontId="54" fillId="0" borderId="0" xfId="0" applyFont="1" applyAlignment="1">
      <alignment horizontal="left" vertical="center"/>
    </xf>
    <xf numFmtId="10" fontId="38" fillId="0" borderId="0" xfId="0" applyNumberFormat="1" applyFont="1"/>
    <xf numFmtId="9" fontId="48" fillId="0" borderId="0" xfId="2" applyFont="1" applyBorder="1" applyAlignment="1">
      <alignment horizontal="right" vertical="center"/>
    </xf>
    <xf numFmtId="0" fontId="48" fillId="0" borderId="1" xfId="0" applyFont="1" applyBorder="1" applyAlignment="1">
      <alignment horizontal="left" vertical="center" wrapText="1"/>
    </xf>
    <xf numFmtId="0" fontId="48" fillId="9" borderId="24" xfId="0" applyFont="1" applyFill="1" applyBorder="1" applyAlignment="1">
      <alignment horizontal="left" vertical="center"/>
    </xf>
    <xf numFmtId="0" fontId="52" fillId="9" borderId="36" xfId="0" applyFont="1" applyFill="1" applyBorder="1" applyAlignment="1">
      <alignment horizontal="left" vertical="center"/>
    </xf>
    <xf numFmtId="10" fontId="52" fillId="9" borderId="37" xfId="0" applyNumberFormat="1" applyFont="1" applyFill="1" applyBorder="1" applyAlignment="1">
      <alignment horizontal="right" vertical="center"/>
    </xf>
    <xf numFmtId="0" fontId="52" fillId="0" borderId="0" xfId="0" applyFont="1" applyAlignment="1">
      <alignment horizontal="left" vertical="center"/>
    </xf>
    <xf numFmtId="10" fontId="52" fillId="0" borderId="0" xfId="0" applyNumberFormat="1" applyFont="1" applyAlignment="1">
      <alignment horizontal="right" vertical="center"/>
    </xf>
    <xf numFmtId="0" fontId="54" fillId="4" borderId="0" xfId="0" applyFont="1" applyFill="1" applyAlignment="1">
      <alignment horizontal="left" vertical="center"/>
    </xf>
    <xf numFmtId="10" fontId="48" fillId="0" borderId="0" xfId="0" applyNumberFormat="1" applyFont="1" applyAlignment="1">
      <alignment horizontal="right" vertical="center"/>
    </xf>
    <xf numFmtId="0" fontId="48" fillId="4" borderId="0" xfId="0" applyFont="1" applyFill="1" applyAlignment="1">
      <alignment horizontal="left" vertical="center"/>
    </xf>
    <xf numFmtId="0" fontId="55" fillId="0" borderId="0" xfId="0" applyFont="1" applyAlignment="1">
      <alignment horizontal="justify" vertical="center"/>
    </xf>
    <xf numFmtId="0" fontId="40" fillId="0" borderId="0" xfId="1" applyBorder="1" applyAlignment="1" applyProtection="1">
      <alignment horizontal="left" vertical="center"/>
    </xf>
    <xf numFmtId="0" fontId="56" fillId="0" borderId="0" xfId="0" applyFont="1"/>
    <xf numFmtId="0" fontId="48" fillId="0" borderId="0" xfId="0" applyFont="1" applyAlignment="1">
      <alignment horizontal="right" vertical="center"/>
    </xf>
    <xf numFmtId="0" fontId="40" fillId="0" borderId="0" xfId="1" applyBorder="1" applyAlignment="1" applyProtection="1">
      <alignment vertical="center"/>
    </xf>
    <xf numFmtId="0" fontId="37" fillId="0" borderId="23" xfId="0" applyFont="1" applyBorder="1"/>
    <xf numFmtId="0" fontId="37" fillId="3" borderId="20" xfId="0" applyFont="1" applyFill="1" applyBorder="1"/>
    <xf numFmtId="0" fontId="37" fillId="0" borderId="38" xfId="0" applyFont="1" applyBorder="1"/>
    <xf numFmtId="0" fontId="39" fillId="0" borderId="38" xfId="0" applyFont="1" applyBorder="1" applyAlignment="1">
      <alignment horizontal="left" vertical="center"/>
    </xf>
    <xf numFmtId="9" fontId="37" fillId="0" borderId="23" xfId="2" applyFont="1" applyBorder="1"/>
    <xf numFmtId="9" fontId="37" fillId="0" borderId="1" xfId="2" applyFont="1" applyBorder="1" applyAlignment="1">
      <alignment horizontal="center"/>
    </xf>
    <xf numFmtId="9" fontId="37" fillId="0" borderId="20" xfId="2" applyFont="1" applyBorder="1"/>
    <xf numFmtId="0" fontId="37" fillId="0" borderId="21" xfId="0" applyFont="1" applyBorder="1" applyAlignment="1">
      <alignment horizontal="left" vertical="center"/>
    </xf>
    <xf numFmtId="0" fontId="37" fillId="0" borderId="22" xfId="0" applyFont="1" applyBorder="1" applyAlignment="1">
      <alignment horizontal="center" vertical="center"/>
    </xf>
    <xf numFmtId="10" fontId="37" fillId="3" borderId="12" xfId="0" applyNumberFormat="1" applyFont="1" applyFill="1" applyBorder="1" applyAlignment="1">
      <alignment horizontal="center" vertical="center"/>
    </xf>
    <xf numFmtId="10" fontId="37" fillId="0" borderId="20" xfId="2" applyNumberFormat="1" applyFont="1" applyBorder="1"/>
    <xf numFmtId="0" fontId="37" fillId="0" borderId="23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10" fontId="37" fillId="3" borderId="20" xfId="0" applyNumberFormat="1" applyFont="1" applyFill="1" applyBorder="1" applyAlignment="1">
      <alignment horizontal="center" vertical="center"/>
    </xf>
    <xf numFmtId="10" fontId="37" fillId="0" borderId="20" xfId="0" applyNumberFormat="1" applyFont="1" applyBorder="1" applyAlignment="1">
      <alignment horizontal="center" vertical="center"/>
    </xf>
    <xf numFmtId="10" fontId="37" fillId="3" borderId="1" xfId="2" applyNumberFormat="1" applyFont="1" applyFill="1" applyBorder="1" applyAlignment="1">
      <alignment horizontal="center"/>
    </xf>
    <xf numFmtId="0" fontId="37" fillId="3" borderId="1" xfId="0" applyFont="1" applyFill="1" applyBorder="1" applyAlignment="1">
      <alignment horizontal="center"/>
    </xf>
    <xf numFmtId="0" fontId="37" fillId="0" borderId="20" xfId="0" applyFont="1" applyBorder="1"/>
    <xf numFmtId="0" fontId="37" fillId="0" borderId="24" xfId="0" applyFont="1" applyBorder="1" applyAlignment="1">
      <alignment horizontal="left" vertical="center"/>
    </xf>
    <xf numFmtId="10" fontId="37" fillId="3" borderId="37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/>
    </xf>
    <xf numFmtId="0" fontId="37" fillId="0" borderId="25" xfId="0" applyFont="1" applyBorder="1" applyAlignment="1">
      <alignment vertical="center"/>
    </xf>
    <xf numFmtId="0" fontId="37" fillId="0" borderId="26" xfId="0" applyFont="1" applyBorder="1" applyAlignment="1">
      <alignment vertical="center"/>
    </xf>
    <xf numFmtId="10" fontId="37" fillId="0" borderId="27" xfId="0" applyNumberFormat="1" applyFont="1" applyBorder="1" applyAlignment="1">
      <alignment vertical="center"/>
    </xf>
    <xf numFmtId="0" fontId="37" fillId="0" borderId="28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30" xfId="0" applyFont="1" applyBorder="1" applyAlignment="1">
      <alignment vertical="center"/>
    </xf>
    <xf numFmtId="0" fontId="39" fillId="5" borderId="5" xfId="0" applyFont="1" applyFill="1" applyBorder="1" applyAlignment="1">
      <alignment vertical="center" wrapText="1"/>
    </xf>
    <xf numFmtId="0" fontId="37" fillId="5" borderId="6" xfId="0" applyFont="1" applyFill="1" applyBorder="1" applyAlignment="1">
      <alignment vertical="center"/>
    </xf>
    <xf numFmtId="10" fontId="39" fillId="5" borderId="7" xfId="0" applyNumberFormat="1" applyFont="1" applyFill="1" applyBorder="1" applyAlignment="1">
      <alignment horizontal="center" vertical="center" wrapText="1"/>
    </xf>
    <xf numFmtId="10" fontId="37" fillId="0" borderId="23" xfId="2" applyNumberFormat="1" applyFont="1" applyBorder="1" applyAlignment="1">
      <alignment horizontal="right"/>
    </xf>
    <xf numFmtId="10" fontId="37" fillId="0" borderId="1" xfId="2" applyNumberFormat="1" applyFont="1" applyBorder="1" applyAlignment="1">
      <alignment horizontal="right"/>
    </xf>
    <xf numFmtId="10" fontId="37" fillId="0" borderId="20" xfId="2" applyNumberFormat="1" applyFont="1" applyBorder="1" applyAlignment="1">
      <alignment horizontal="right"/>
    </xf>
    <xf numFmtId="10" fontId="37" fillId="0" borderId="24" xfId="2" applyNumberFormat="1" applyFont="1" applyBorder="1" applyAlignment="1">
      <alignment horizontal="right"/>
    </xf>
    <xf numFmtId="10" fontId="37" fillId="0" borderId="36" xfId="2" applyNumberFormat="1" applyFont="1" applyBorder="1" applyAlignment="1">
      <alignment horizontal="right"/>
    </xf>
    <xf numFmtId="10" fontId="37" fillId="0" borderId="37" xfId="2" applyNumberFormat="1" applyFont="1" applyBorder="1" applyAlignment="1">
      <alignment horizontal="right"/>
    </xf>
    <xf numFmtId="0" fontId="38" fillId="0" borderId="52" xfId="0" applyFont="1" applyBorder="1"/>
    <xf numFmtId="0" fontId="49" fillId="0" borderId="52" xfId="0" applyFont="1" applyBorder="1" applyAlignment="1">
      <alignment horizontal="justify"/>
    </xf>
    <xf numFmtId="0" fontId="49" fillId="0" borderId="53" xfId="0" applyFont="1" applyBorder="1" applyAlignment="1">
      <alignment horizontal="justify"/>
    </xf>
    <xf numFmtId="0" fontId="47" fillId="10" borderId="51" xfId="0" applyFont="1" applyFill="1" applyBorder="1" applyAlignment="1">
      <alignment horizontal="center"/>
    </xf>
    <xf numFmtId="1" fontId="38" fillId="0" borderId="0" xfId="3" applyNumberFormat="1" applyFont="1" applyBorder="1" applyAlignment="1">
      <alignment horizontal="center" vertical="center"/>
    </xf>
    <xf numFmtId="0" fontId="38" fillId="0" borderId="8" xfId="0" applyFont="1" applyBorder="1" applyAlignment="1">
      <alignment vertical="center"/>
    </xf>
    <xf numFmtId="0" fontId="38" fillId="0" borderId="9" xfId="0" applyFont="1" applyBorder="1" applyAlignment="1">
      <alignment vertical="center"/>
    </xf>
    <xf numFmtId="167" fontId="38" fillId="3" borderId="9" xfId="3" applyFont="1" applyFill="1" applyBorder="1" applyAlignment="1">
      <alignment vertical="center"/>
    </xf>
    <xf numFmtId="167" fontId="38" fillId="0" borderId="10" xfId="3" applyFont="1" applyBorder="1" applyAlignment="1">
      <alignment vertical="center"/>
    </xf>
    <xf numFmtId="167" fontId="35" fillId="0" borderId="7" xfId="3" applyFont="1" applyBorder="1" applyAlignment="1">
      <alignment horizontal="right" vertical="center"/>
    </xf>
    <xf numFmtId="167" fontId="35" fillId="2" borderId="4" xfId="3" applyFont="1" applyFill="1" applyBorder="1" applyAlignment="1">
      <alignment horizontal="right" vertical="center"/>
    </xf>
    <xf numFmtId="170" fontId="35" fillId="0" borderId="1" xfId="0" applyNumberFormat="1" applyFont="1" applyBorder="1" applyAlignment="1">
      <alignment vertical="center"/>
    </xf>
    <xf numFmtId="170" fontId="0" fillId="0" borderId="1" xfId="0" applyNumberFormat="1" applyBorder="1" applyAlignment="1">
      <alignment vertical="center"/>
    </xf>
    <xf numFmtId="170" fontId="35" fillId="0" borderId="36" xfId="0" applyNumberFormat="1" applyFont="1" applyBorder="1" applyAlignment="1">
      <alignment vertical="center"/>
    </xf>
    <xf numFmtId="167" fontId="35" fillId="0" borderId="11" xfId="3" applyFont="1" applyBorder="1" applyAlignment="1">
      <alignment vertical="center"/>
    </xf>
    <xf numFmtId="167" fontId="35" fillId="0" borderId="5" xfId="3" applyFont="1" applyBorder="1" applyAlignment="1">
      <alignment vertical="center"/>
    </xf>
    <xf numFmtId="0" fontId="36" fillId="0" borderId="38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39" xfId="0" applyFont="1" applyBorder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7" borderId="1" xfId="0" applyFont="1" applyFill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167" fontId="35" fillId="0" borderId="9" xfId="3" applyFont="1" applyBorder="1" applyAlignment="1">
      <alignment horizontal="center" vertical="center"/>
    </xf>
    <xf numFmtId="0" fontId="45" fillId="2" borderId="17" xfId="0" applyFont="1" applyFill="1" applyBorder="1" applyAlignment="1">
      <alignment horizontal="center" vertical="center" wrapText="1"/>
    </xf>
    <xf numFmtId="168" fontId="35" fillId="0" borderId="1" xfId="3" applyNumberFormat="1" applyFont="1" applyBorder="1" applyAlignment="1">
      <alignment horizontal="center" vertical="center"/>
    </xf>
    <xf numFmtId="169" fontId="35" fillId="0" borderId="1" xfId="3" applyNumberFormat="1" applyFont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3" fillId="0" borderId="0" xfId="0" applyFont="1"/>
    <xf numFmtId="0" fontId="35" fillId="0" borderId="54" xfId="0" applyFont="1" applyBorder="1" applyAlignment="1">
      <alignment vertical="center"/>
    </xf>
    <xf numFmtId="0" fontId="35" fillId="0" borderId="54" xfId="0" applyFont="1" applyBorder="1" applyAlignment="1">
      <alignment horizontal="center" vertical="center"/>
    </xf>
    <xf numFmtId="167" fontId="35" fillId="0" borderId="54" xfId="3" applyFont="1" applyBorder="1" applyAlignment="1">
      <alignment horizontal="center" vertical="center"/>
    </xf>
    <xf numFmtId="167" fontId="35" fillId="0" borderId="54" xfId="3" applyFont="1" applyFill="1" applyBorder="1" applyAlignment="1">
      <alignment horizontal="center" vertical="center"/>
    </xf>
    <xf numFmtId="4" fontId="33" fillId="0" borderId="0" xfId="0" applyNumberFormat="1" applyFont="1" applyAlignment="1">
      <alignment vertical="center"/>
    </xf>
    <xf numFmtId="0" fontId="39" fillId="0" borderId="23" xfId="0" applyFont="1" applyBorder="1"/>
    <xf numFmtId="0" fontId="39" fillId="0" borderId="1" xfId="0" applyFont="1" applyBorder="1"/>
    <xf numFmtId="0" fontId="39" fillId="0" borderId="20" xfId="0" applyFont="1" applyBorder="1"/>
    <xf numFmtId="0" fontId="37" fillId="0" borderId="1" xfId="0" applyFont="1" applyBorder="1"/>
    <xf numFmtId="172" fontId="37" fillId="0" borderId="20" xfId="0" applyNumberFormat="1" applyFont="1" applyBorder="1"/>
    <xf numFmtId="2" fontId="37" fillId="0" borderId="20" xfId="0" applyNumberFormat="1" applyFont="1" applyBorder="1"/>
    <xf numFmtId="0" fontId="37" fillId="0" borderId="24" xfId="0" applyFont="1" applyBorder="1"/>
    <xf numFmtId="0" fontId="37" fillId="0" borderId="36" xfId="0" applyFont="1" applyBorder="1"/>
    <xf numFmtId="172" fontId="37" fillId="3" borderId="20" xfId="0" applyNumberFormat="1" applyFont="1" applyFill="1" applyBorder="1"/>
    <xf numFmtId="172" fontId="37" fillId="0" borderId="37" xfId="0" applyNumberFormat="1" applyFont="1" applyBorder="1"/>
    <xf numFmtId="0" fontId="47" fillId="0" borderId="1" xfId="0" applyFont="1" applyBorder="1" applyAlignment="1">
      <alignment horizontal="center"/>
    </xf>
    <xf numFmtId="0" fontId="47" fillId="0" borderId="23" xfId="0" applyFont="1" applyBorder="1" applyAlignment="1">
      <alignment horizontal="center"/>
    </xf>
    <xf numFmtId="0" fontId="47" fillId="0" borderId="20" xfId="0" applyFont="1" applyBorder="1" applyAlignment="1">
      <alignment horizontal="center"/>
    </xf>
    <xf numFmtId="0" fontId="37" fillId="0" borderId="23" xfId="0" applyFont="1" applyBorder="1" applyAlignment="1">
      <alignment horizontal="right"/>
    </xf>
    <xf numFmtId="4" fontId="57" fillId="0" borderId="0" xfId="0" applyNumberFormat="1" applyFont="1" applyAlignment="1">
      <alignment vertical="center"/>
    </xf>
    <xf numFmtId="0" fontId="33" fillId="0" borderId="2" xfId="0" applyFont="1" applyBorder="1" applyAlignment="1">
      <alignment vertical="center"/>
    </xf>
    <xf numFmtId="172" fontId="37" fillId="0" borderId="0" xfId="0" applyNumberFormat="1" applyFont="1"/>
    <xf numFmtId="167" fontId="33" fillId="3" borderId="2" xfId="3" applyFont="1" applyFill="1" applyBorder="1" applyAlignment="1">
      <alignment horizontal="center" vertical="center"/>
    </xf>
    <xf numFmtId="10" fontId="35" fillId="3" borderId="7" xfId="2" applyNumberFormat="1" applyFont="1" applyFill="1" applyBorder="1" applyAlignment="1">
      <alignment vertical="center"/>
    </xf>
    <xf numFmtId="174" fontId="38" fillId="0" borderId="1" xfId="3" applyNumberFormat="1" applyFont="1" applyBorder="1" applyAlignment="1">
      <alignment vertical="center"/>
    </xf>
    <xf numFmtId="0" fontId="59" fillId="0" borderId="0" xfId="25" applyFont="1"/>
    <xf numFmtId="0" fontId="31" fillId="0" borderId="0" xfId="25"/>
    <xf numFmtId="0" fontId="59" fillId="0" borderId="1" xfId="25" applyFont="1" applyBorder="1"/>
    <xf numFmtId="0" fontId="31" fillId="0" borderId="8" xfId="25" applyBorder="1"/>
    <xf numFmtId="0" fontId="31" fillId="0" borderId="9" xfId="25" applyBorder="1"/>
    <xf numFmtId="0" fontId="31" fillId="0" borderId="1" xfId="25" applyBorder="1"/>
    <xf numFmtId="0" fontId="59" fillId="0" borderId="8" xfId="25" applyFont="1" applyBorder="1"/>
    <xf numFmtId="0" fontId="59" fillId="0" borderId="9" xfId="25" applyFont="1" applyBorder="1"/>
    <xf numFmtId="10" fontId="59" fillId="0" borderId="1" xfId="2" applyNumberFormat="1" applyFont="1" applyBorder="1"/>
    <xf numFmtId="167" fontId="0" fillId="3" borderId="1" xfId="3" applyFont="1" applyFill="1" applyBorder="1"/>
    <xf numFmtId="13" fontId="33" fillId="3" borderId="1" xfId="0" applyNumberFormat="1" applyFont="1" applyFill="1" applyBorder="1" applyAlignment="1">
      <alignment vertical="center"/>
    </xf>
    <xf numFmtId="0" fontId="33" fillId="0" borderId="1" xfId="0" applyFont="1" applyBorder="1" applyAlignment="1">
      <alignment vertical="center"/>
    </xf>
    <xf numFmtId="167" fontId="31" fillId="0" borderId="1" xfId="3" applyFont="1" applyBorder="1"/>
    <xf numFmtId="13" fontId="38" fillId="3" borderId="1" xfId="0" applyNumberFormat="1" applyFont="1" applyFill="1" applyBorder="1" applyAlignment="1">
      <alignment vertical="center"/>
    </xf>
    <xf numFmtId="167" fontId="59" fillId="0" borderId="1" xfId="3" applyFont="1" applyBorder="1"/>
    <xf numFmtId="167" fontId="38" fillId="0" borderId="0" xfId="0" applyNumberFormat="1" applyFont="1" applyAlignment="1">
      <alignment vertical="center"/>
    </xf>
    <xf numFmtId="4" fontId="36" fillId="0" borderId="0" xfId="0" applyNumberFormat="1" applyFont="1" applyAlignment="1">
      <alignment vertical="center"/>
    </xf>
    <xf numFmtId="4" fontId="38" fillId="3" borderId="1" xfId="0" applyNumberFormat="1" applyFont="1" applyFill="1" applyBorder="1" applyAlignment="1">
      <alignment vertical="center"/>
    </xf>
    <xf numFmtId="167" fontId="33" fillId="0" borderId="0" xfId="3" applyFont="1" applyAlignment="1">
      <alignment vertical="center"/>
    </xf>
    <xf numFmtId="167" fontId="33" fillId="0" borderId="1" xfId="3" applyFont="1" applyBorder="1" applyAlignment="1">
      <alignment horizontal="center" vertical="center"/>
    </xf>
    <xf numFmtId="167" fontId="33" fillId="0" borderId="0" xfId="3" applyFont="1" applyAlignment="1">
      <alignment horizontal="right" vertical="center"/>
    </xf>
    <xf numFmtId="167" fontId="33" fillId="0" borderId="1" xfId="3" applyFont="1" applyBorder="1" applyAlignment="1">
      <alignment vertical="center"/>
    </xf>
    <xf numFmtId="168" fontId="33" fillId="0" borderId="1" xfId="3" applyNumberFormat="1" applyFont="1" applyBorder="1" applyAlignment="1">
      <alignment horizontal="center" vertical="center"/>
    </xf>
    <xf numFmtId="167" fontId="33" fillId="3" borderId="1" xfId="3" applyFont="1" applyFill="1" applyBorder="1" applyAlignment="1">
      <alignment horizontal="center" vertical="center"/>
    </xf>
    <xf numFmtId="169" fontId="33" fillId="0" borderId="1" xfId="3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7" fontId="0" fillId="0" borderId="1" xfId="3" applyFont="1" applyBorder="1"/>
    <xf numFmtId="0" fontId="35" fillId="0" borderId="1" xfId="0" applyFont="1" applyBorder="1"/>
    <xf numFmtId="167" fontId="35" fillId="0" borderId="1" xfId="3" applyFont="1" applyBorder="1"/>
    <xf numFmtId="0" fontId="33" fillId="0" borderId="1" xfId="0" applyFont="1" applyBorder="1"/>
    <xf numFmtId="174" fontId="38" fillId="0" borderId="0" xfId="3" applyNumberFormat="1" applyFont="1" applyAlignment="1">
      <alignment vertical="center"/>
    </xf>
    <xf numFmtId="0" fontId="33" fillId="0" borderId="1" xfId="0" applyFont="1" applyBorder="1" applyAlignment="1">
      <alignment horizontal="center" vertical="center"/>
    </xf>
    <xf numFmtId="174" fontId="38" fillId="0" borderId="0" xfId="3" applyNumberFormat="1" applyFont="1" applyBorder="1" applyAlignment="1">
      <alignment vertical="center"/>
    </xf>
    <xf numFmtId="1" fontId="33" fillId="0" borderId="1" xfId="3" applyNumberFormat="1" applyFont="1" applyFill="1" applyBorder="1" applyAlignment="1">
      <alignment horizontal="center" vertical="center"/>
    </xf>
    <xf numFmtId="164" fontId="33" fillId="3" borderId="1" xfId="6" applyFont="1" applyFill="1" applyBorder="1" applyAlignment="1">
      <alignment horizontal="center" vertical="center"/>
    </xf>
    <xf numFmtId="164" fontId="33" fillId="3" borderId="1" xfId="6" applyFont="1" applyFill="1" applyBorder="1" applyAlignment="1">
      <alignment vertical="center"/>
    </xf>
    <xf numFmtId="0" fontId="34" fillId="0" borderId="56" xfId="0" applyFont="1" applyBorder="1" applyAlignment="1">
      <alignment vertical="center"/>
    </xf>
    <xf numFmtId="164" fontId="35" fillId="2" borderId="4" xfId="6" applyFont="1" applyFill="1" applyBorder="1" applyAlignment="1">
      <alignment vertical="center"/>
    </xf>
    <xf numFmtId="13" fontId="38" fillId="3" borderId="1" xfId="0" applyNumberFormat="1" applyFont="1" applyFill="1" applyBorder="1" applyAlignment="1">
      <alignment horizontal="right" vertical="center"/>
    </xf>
    <xf numFmtId="4" fontId="33" fillId="3" borderId="1" xfId="0" applyNumberFormat="1" applyFont="1" applyFill="1" applyBorder="1" applyAlignment="1">
      <alignment horizontal="center" vertical="center"/>
    </xf>
    <xf numFmtId="174" fontId="33" fillId="0" borderId="1" xfId="3" applyNumberFormat="1" applyFont="1" applyBorder="1" applyAlignment="1">
      <alignment vertical="center"/>
    </xf>
    <xf numFmtId="2" fontId="31" fillId="0" borderId="1" xfId="25" applyNumberFormat="1" applyBorder="1"/>
    <xf numFmtId="2" fontId="31" fillId="0" borderId="0" xfId="25" applyNumberFormat="1"/>
    <xf numFmtId="171" fontId="31" fillId="0" borderId="0" xfId="25" applyNumberFormat="1"/>
    <xf numFmtId="10" fontId="33" fillId="0" borderId="15" xfId="2" applyNumberFormat="1" applyFont="1" applyBorder="1" applyAlignment="1">
      <alignment vertical="center"/>
    </xf>
    <xf numFmtId="167" fontId="33" fillId="0" borderId="14" xfId="3" applyFont="1" applyBorder="1" applyAlignment="1">
      <alignment vertical="center"/>
    </xf>
    <xf numFmtId="167" fontId="33" fillId="0" borderId="9" xfId="3" applyFont="1" applyBorder="1" applyAlignment="1">
      <alignment vertical="center"/>
    </xf>
    <xf numFmtId="1" fontId="33" fillId="0" borderId="20" xfId="3" applyNumberFormat="1" applyFont="1" applyBorder="1" applyAlignment="1">
      <alignment horizontal="center" vertical="center"/>
    </xf>
    <xf numFmtId="167" fontId="33" fillId="0" borderId="0" xfId="3" applyFont="1" applyBorder="1" applyAlignment="1">
      <alignment vertical="center"/>
    </xf>
    <xf numFmtId="167" fontId="33" fillId="0" borderId="39" xfId="3" applyFont="1" applyBorder="1" applyAlignment="1">
      <alignment vertical="center"/>
    </xf>
    <xf numFmtId="168" fontId="33" fillId="0" borderId="0" xfId="3" applyNumberFormat="1" applyFont="1" applyBorder="1" applyAlignment="1">
      <alignment horizontal="center" vertical="center"/>
    </xf>
    <xf numFmtId="167" fontId="33" fillId="0" borderId="2" xfId="3" applyFont="1" applyBorder="1" applyAlignment="1">
      <alignment horizontal="center" vertical="center"/>
    </xf>
    <xf numFmtId="167" fontId="33" fillId="0" borderId="1" xfId="3" applyFont="1" applyFill="1" applyBorder="1" applyAlignment="1">
      <alignment horizontal="center" vertical="center"/>
    </xf>
    <xf numFmtId="167" fontId="33" fillId="6" borderId="1" xfId="3" applyFont="1" applyFill="1" applyBorder="1" applyAlignment="1">
      <alignment horizontal="center" vertical="center"/>
    </xf>
    <xf numFmtId="167" fontId="33" fillId="0" borderId="6" xfId="3" applyFont="1" applyBorder="1" applyAlignment="1">
      <alignment vertical="center"/>
    </xf>
    <xf numFmtId="167" fontId="33" fillId="0" borderId="7" xfId="3" applyFont="1" applyBorder="1" applyAlignment="1">
      <alignment vertical="center"/>
    </xf>
    <xf numFmtId="167" fontId="33" fillId="0" borderId="0" xfId="3" applyFont="1" applyAlignment="1">
      <alignment horizontal="center" vertical="center"/>
    </xf>
    <xf numFmtId="169" fontId="33" fillId="3" borderId="2" xfId="3" applyNumberFormat="1" applyFont="1" applyFill="1" applyBorder="1" applyAlignment="1">
      <alignment horizontal="center" vertical="center"/>
    </xf>
    <xf numFmtId="169" fontId="33" fillId="0" borderId="2" xfId="3" applyNumberFormat="1" applyFont="1" applyBorder="1" applyAlignment="1">
      <alignment horizontal="center" vertical="center"/>
    </xf>
    <xf numFmtId="167" fontId="33" fillId="0" borderId="2" xfId="3" applyFont="1" applyFill="1" applyBorder="1" applyAlignment="1">
      <alignment horizontal="center" vertical="center"/>
    </xf>
    <xf numFmtId="167" fontId="0" fillId="0" borderId="1" xfId="3" applyFont="1" applyBorder="1" applyAlignment="1">
      <alignment horizontal="center"/>
    </xf>
    <xf numFmtId="167" fontId="0" fillId="0" borderId="10" xfId="3" applyFont="1" applyBorder="1" applyAlignment="1">
      <alignment horizontal="center"/>
    </xf>
    <xf numFmtId="0" fontId="17" fillId="0" borderId="0" xfId="58"/>
    <xf numFmtId="0" fontId="17" fillId="0" borderId="22" xfId="58" applyBorder="1" applyAlignment="1">
      <alignment horizontal="center"/>
    </xf>
    <xf numFmtId="0" fontId="17" fillId="0" borderId="36" xfId="58" applyBorder="1" applyAlignment="1">
      <alignment horizontal="center"/>
    </xf>
    <xf numFmtId="2" fontId="17" fillId="0" borderId="0" xfId="58" applyNumberFormat="1"/>
    <xf numFmtId="0" fontId="0" fillId="0" borderId="23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4" fontId="0" fillId="0" borderId="1" xfId="3" applyNumberFormat="1" applyFont="1" applyBorder="1" applyAlignment="1">
      <alignment horizontal="right"/>
    </xf>
    <xf numFmtId="0" fontId="0" fillId="0" borderId="20" xfId="0" applyBorder="1"/>
    <xf numFmtId="0" fontId="0" fillId="0" borderId="48" xfId="0" applyBorder="1"/>
    <xf numFmtId="2" fontId="59" fillId="0" borderId="17" xfId="3" applyNumberFormat="1" applyFont="1" applyBorder="1"/>
    <xf numFmtId="0" fontId="59" fillId="0" borderId="18" xfId="0" applyFont="1" applyBorder="1"/>
    <xf numFmtId="4" fontId="0" fillId="0" borderId="1" xfId="0" applyNumberFormat="1" applyBorder="1"/>
    <xf numFmtId="4" fontId="59" fillId="0" borderId="3" xfId="3" applyNumberFormat="1" applyFont="1" applyBorder="1"/>
    <xf numFmtId="2" fontId="0" fillId="0" borderId="23" xfId="0" applyNumberFormat="1" applyBorder="1" applyAlignment="1">
      <alignment horizontal="center"/>
    </xf>
    <xf numFmtId="0" fontId="0" fillId="0" borderId="8" xfId="0" applyBorder="1" applyAlignment="1">
      <alignment horizontal="center" vertical="center"/>
    </xf>
    <xf numFmtId="1" fontId="0" fillId="0" borderId="8" xfId="0" applyNumberFormat="1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2" fontId="0" fillId="0" borderId="10" xfId="0" applyNumberFormat="1" applyBorder="1"/>
    <xf numFmtId="2" fontId="0" fillId="0" borderId="20" xfId="0" applyNumberFormat="1" applyBorder="1"/>
    <xf numFmtId="2" fontId="59" fillId="0" borderId="1" xfId="0" applyNumberFormat="1" applyFont="1" applyBorder="1"/>
    <xf numFmtId="2" fontId="59" fillId="0" borderId="20" xfId="0" applyNumberFormat="1" applyFont="1" applyBorder="1"/>
    <xf numFmtId="2" fontId="59" fillId="0" borderId="37" xfId="0" applyNumberFormat="1" applyFont="1" applyBorder="1"/>
    <xf numFmtId="2" fontId="59" fillId="0" borderId="31" xfId="0" applyNumberFormat="1" applyFont="1" applyBorder="1"/>
    <xf numFmtId="0" fontId="0" fillId="0" borderId="50" xfId="0" applyBorder="1"/>
    <xf numFmtId="0" fontId="59" fillId="0" borderId="13" xfId="0" applyFont="1" applyBorder="1"/>
    <xf numFmtId="174" fontId="0" fillId="0" borderId="0" xfId="3" applyNumberFormat="1" applyFont="1" applyAlignment="1">
      <alignment vertic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2" xfId="0" applyBorder="1" applyAlignment="1">
      <alignment horizontal="center"/>
    </xf>
    <xf numFmtId="4" fontId="0" fillId="4" borderId="1" xfId="3" applyNumberFormat="1" applyFont="1" applyFill="1" applyBorder="1" applyAlignment="1">
      <alignment horizontal="right"/>
    </xf>
    <xf numFmtId="20" fontId="15" fillId="0" borderId="22" xfId="58" applyNumberFormat="1" applyFont="1" applyBorder="1"/>
    <xf numFmtId="20" fontId="15" fillId="0" borderId="36" xfId="58" applyNumberFormat="1" applyFont="1" applyBorder="1"/>
    <xf numFmtId="0" fontId="15" fillId="0" borderId="22" xfId="58" applyFont="1" applyBorder="1"/>
    <xf numFmtId="0" fontId="15" fillId="0" borderId="36" xfId="58" applyFont="1" applyBorder="1"/>
    <xf numFmtId="4" fontId="0" fillId="0" borderId="0" xfId="3" applyNumberFormat="1" applyFont="1" applyBorder="1" applyAlignment="1">
      <alignment horizontal="right"/>
    </xf>
    <xf numFmtId="0" fontId="0" fillId="0" borderId="24" xfId="0" applyBorder="1" applyAlignment="1">
      <alignment horizontal="center"/>
    </xf>
    <xf numFmtId="0" fontId="0" fillId="0" borderId="36" xfId="0" applyBorder="1" applyAlignment="1">
      <alignment horizontal="center"/>
    </xf>
    <xf numFmtId="49" fontId="0" fillId="0" borderId="36" xfId="0" applyNumberFormat="1" applyBorder="1" applyAlignment="1">
      <alignment horizontal="center"/>
    </xf>
    <xf numFmtId="4" fontId="0" fillId="0" borderId="36" xfId="3" applyNumberFormat="1" applyFont="1" applyBorder="1" applyAlignment="1">
      <alignment horizontal="right"/>
    </xf>
    <xf numFmtId="0" fontId="0" fillId="0" borderId="37" xfId="0" applyBorder="1"/>
    <xf numFmtId="176" fontId="0" fillId="0" borderId="8" xfId="0" applyNumberFormat="1" applyBorder="1" applyAlignment="1">
      <alignment horizontal="right" vertical="center"/>
    </xf>
    <xf numFmtId="2" fontId="0" fillId="0" borderId="9" xfId="0" applyNumberFormat="1" applyBorder="1" applyAlignment="1">
      <alignment horizontal="center"/>
    </xf>
    <xf numFmtId="167" fontId="33" fillId="3" borderId="0" xfId="3" applyFont="1" applyFill="1" applyAlignment="1">
      <alignment vertical="center"/>
    </xf>
    <xf numFmtId="0" fontId="59" fillId="0" borderId="33" xfId="58" applyFont="1" applyBorder="1" applyAlignment="1">
      <alignment horizontal="center" vertical="center"/>
    </xf>
    <xf numFmtId="0" fontId="59" fillId="0" borderId="13" xfId="58" applyFont="1" applyBorder="1" applyAlignment="1">
      <alignment horizontal="center" vertical="center" wrapText="1"/>
    </xf>
    <xf numFmtId="0" fontId="59" fillId="0" borderId="32" xfId="58" applyFont="1" applyBorder="1" applyAlignment="1">
      <alignment horizontal="center" vertical="center"/>
    </xf>
    <xf numFmtId="0" fontId="59" fillId="0" borderId="33" xfId="58" applyFont="1" applyBorder="1" applyAlignment="1">
      <alignment horizontal="center" vertical="center" wrapText="1"/>
    </xf>
    <xf numFmtId="0" fontId="59" fillId="0" borderId="0" xfId="58" applyFont="1" applyAlignment="1">
      <alignment horizontal="center" vertical="center"/>
    </xf>
    <xf numFmtId="0" fontId="17" fillId="0" borderId="0" xfId="58" applyAlignment="1">
      <alignment horizontal="center" vertical="center" wrapText="1"/>
    </xf>
    <xf numFmtId="0" fontId="17" fillId="0" borderId="0" xfId="58" applyAlignment="1">
      <alignment horizontal="center"/>
    </xf>
    <xf numFmtId="0" fontId="15" fillId="0" borderId="0" xfId="58" applyFont="1"/>
    <xf numFmtId="20" fontId="15" fillId="0" borderId="0" xfId="58" applyNumberFormat="1" applyFont="1"/>
    <xf numFmtId="0" fontId="59" fillId="0" borderId="16" xfId="58" applyFont="1" applyBorder="1" applyAlignment="1">
      <alignment horizontal="center" vertical="center"/>
    </xf>
    <xf numFmtId="0" fontId="10" fillId="0" borderId="17" xfId="58" applyFont="1" applyBorder="1" applyAlignment="1">
      <alignment horizontal="center" vertical="center" wrapText="1"/>
    </xf>
    <xf numFmtId="0" fontId="17" fillId="0" borderId="16" xfId="58" applyBorder="1" applyAlignment="1">
      <alignment horizontal="center"/>
    </xf>
    <xf numFmtId="0" fontId="10" fillId="0" borderId="17" xfId="58" applyFont="1" applyBorder="1"/>
    <xf numFmtId="20" fontId="15" fillId="0" borderId="17" xfId="58" applyNumberFormat="1" applyFont="1" applyBorder="1"/>
    <xf numFmtId="0" fontId="33" fillId="4" borderId="0" xfId="0" applyFont="1" applyFill="1" applyAlignment="1">
      <alignment vertical="center"/>
    </xf>
    <xf numFmtId="4" fontId="0" fillId="4" borderId="0" xfId="0" applyNumberFormat="1" applyFill="1" applyAlignment="1">
      <alignment vertical="center"/>
    </xf>
    <xf numFmtId="167" fontId="0" fillId="4" borderId="0" xfId="3" applyFont="1" applyFill="1" applyAlignment="1">
      <alignment vertical="center"/>
    </xf>
    <xf numFmtId="9" fontId="35" fillId="0" borderId="7" xfId="2" applyFont="1" applyFill="1" applyBorder="1" applyAlignment="1">
      <alignment vertical="center"/>
    </xf>
    <xf numFmtId="0" fontId="33" fillId="0" borderId="2" xfId="0" applyFont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/>
    </xf>
    <xf numFmtId="167" fontId="33" fillId="0" borderId="1" xfId="3" applyFont="1" applyFill="1" applyBorder="1" applyAlignment="1">
      <alignment vertical="center"/>
    </xf>
    <xf numFmtId="167" fontId="35" fillId="0" borderId="0" xfId="3" applyFont="1" applyFill="1" applyAlignment="1">
      <alignment horizontal="center" vertical="center"/>
    </xf>
    <xf numFmtId="1" fontId="33" fillId="0" borderId="1" xfId="0" applyNumberFormat="1" applyFont="1" applyBorder="1" applyAlignment="1">
      <alignment horizontal="center" vertical="center"/>
    </xf>
    <xf numFmtId="167" fontId="33" fillId="0" borderId="1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3" fontId="33" fillId="0" borderId="0" xfId="0" applyNumberFormat="1" applyFont="1" applyAlignment="1">
      <alignment vertical="center"/>
    </xf>
    <xf numFmtId="3" fontId="33" fillId="3" borderId="1" xfId="0" applyNumberFormat="1" applyFont="1" applyFill="1" applyBorder="1" applyAlignment="1">
      <alignment vertical="center"/>
    </xf>
    <xf numFmtId="4" fontId="33" fillId="3" borderId="2" xfId="0" applyNumberFormat="1" applyFont="1" applyFill="1" applyBorder="1" applyAlignment="1">
      <alignment horizontal="center" vertical="center"/>
    </xf>
    <xf numFmtId="0" fontId="33" fillId="0" borderId="6" xfId="0" applyFont="1" applyBorder="1" applyAlignment="1">
      <alignment vertical="center"/>
    </xf>
    <xf numFmtId="0" fontId="36" fillId="4" borderId="5" xfId="0" applyFont="1" applyFill="1" applyBorder="1" applyAlignment="1">
      <alignment vertical="center"/>
    </xf>
    <xf numFmtId="0" fontId="36" fillId="4" borderId="6" xfId="0" applyFont="1" applyFill="1" applyBorder="1" applyAlignment="1">
      <alignment vertical="center"/>
    </xf>
    <xf numFmtId="167" fontId="36" fillId="4" borderId="6" xfId="3" applyFont="1" applyFill="1" applyBorder="1" applyAlignment="1">
      <alignment vertical="center"/>
    </xf>
    <xf numFmtId="167" fontId="36" fillId="4" borderId="7" xfId="3" applyFont="1" applyFill="1" applyBorder="1" applyAlignment="1">
      <alignment vertical="center"/>
    </xf>
    <xf numFmtId="0" fontId="37" fillId="4" borderId="0" xfId="0" applyFont="1" applyFill="1" applyAlignment="1">
      <alignment vertical="center"/>
    </xf>
    <xf numFmtId="167" fontId="37" fillId="4" borderId="0" xfId="3" applyFont="1" applyFill="1" applyAlignment="1">
      <alignment vertical="center"/>
    </xf>
    <xf numFmtId="167" fontId="33" fillId="4" borderId="0" xfId="3" applyFont="1" applyFill="1" applyAlignment="1">
      <alignment vertical="center"/>
    </xf>
    <xf numFmtId="0" fontId="33" fillId="4" borderId="8" xfId="0" applyFont="1" applyFill="1" applyBorder="1" applyAlignment="1">
      <alignment vertical="center"/>
    </xf>
    <xf numFmtId="0" fontId="33" fillId="4" borderId="9" xfId="0" applyFont="1" applyFill="1" applyBorder="1" applyAlignment="1">
      <alignment vertical="center"/>
    </xf>
    <xf numFmtId="167" fontId="33" fillId="4" borderId="9" xfId="3" applyFont="1" applyFill="1" applyBorder="1" applyAlignment="1">
      <alignment vertical="center"/>
    </xf>
    <xf numFmtId="167" fontId="33" fillId="4" borderId="10" xfId="3" applyFont="1" applyFill="1" applyBorder="1" applyAlignment="1">
      <alignment vertical="center"/>
    </xf>
    <xf numFmtId="0" fontId="35" fillId="4" borderId="5" xfId="0" applyFont="1" applyFill="1" applyBorder="1" applyAlignment="1">
      <alignment vertical="center"/>
    </xf>
    <xf numFmtId="0" fontId="35" fillId="4" borderId="6" xfId="0" applyFont="1" applyFill="1" applyBorder="1" applyAlignment="1">
      <alignment vertical="center"/>
    </xf>
    <xf numFmtId="167" fontId="35" fillId="4" borderId="6" xfId="3" applyFont="1" applyFill="1" applyBorder="1" applyAlignment="1">
      <alignment vertical="center"/>
    </xf>
    <xf numFmtId="167" fontId="35" fillId="4" borderId="7" xfId="3" applyFont="1" applyFill="1" applyBorder="1" applyAlignment="1">
      <alignment horizontal="right" vertical="center"/>
    </xf>
    <xf numFmtId="167" fontId="35" fillId="4" borderId="4" xfId="3" applyFont="1" applyFill="1" applyBorder="1" applyAlignment="1">
      <alignment horizontal="right" vertical="center"/>
    </xf>
    <xf numFmtId="0" fontId="35" fillId="4" borderId="0" xfId="0" applyFont="1" applyFill="1" applyAlignment="1">
      <alignment vertical="center"/>
    </xf>
    <xf numFmtId="167" fontId="35" fillId="4" borderId="0" xfId="3" applyFont="1" applyFill="1" applyBorder="1" applyAlignment="1">
      <alignment vertical="center"/>
    </xf>
    <xf numFmtId="0" fontId="61" fillId="4" borderId="0" xfId="0" applyFont="1" applyFill="1" applyAlignment="1">
      <alignment vertical="center"/>
    </xf>
    <xf numFmtId="0" fontId="62" fillId="4" borderId="5" xfId="0" applyFont="1" applyFill="1" applyBorder="1" applyAlignment="1">
      <alignment horizontal="left" vertical="center"/>
    </xf>
    <xf numFmtId="0" fontId="33" fillId="4" borderId="6" xfId="0" applyFont="1" applyFill="1" applyBorder="1" applyAlignment="1">
      <alignment vertical="center"/>
    </xf>
    <xf numFmtId="167" fontId="33" fillId="4" borderId="6" xfId="3" applyFont="1" applyFill="1" applyBorder="1" applyAlignment="1">
      <alignment vertical="center"/>
    </xf>
    <xf numFmtId="167" fontId="33" fillId="4" borderId="7" xfId="3" applyFont="1" applyFill="1" applyBorder="1" applyAlignment="1">
      <alignment vertical="center"/>
    </xf>
    <xf numFmtId="0" fontId="61" fillId="4" borderId="0" xfId="0" applyFont="1" applyFill="1" applyAlignment="1">
      <alignment horizontal="center" vertical="center"/>
    </xf>
    <xf numFmtId="167" fontId="33" fillId="4" borderId="0" xfId="3" applyFont="1" applyFill="1" applyAlignment="1">
      <alignment horizontal="center" vertical="center"/>
    </xf>
    <xf numFmtId="0" fontId="33" fillId="4" borderId="0" xfId="0" applyFont="1" applyFill="1" applyAlignment="1">
      <alignment horizontal="center" vertical="center"/>
    </xf>
    <xf numFmtId="0" fontId="59" fillId="0" borderId="17" xfId="0" applyFont="1" applyBorder="1" applyAlignment="1">
      <alignment horizontal="center"/>
    </xf>
    <xf numFmtId="0" fontId="59" fillId="0" borderId="18" xfId="0" applyFont="1" applyBorder="1" applyAlignment="1">
      <alignment horizontal="center"/>
    </xf>
    <xf numFmtId="0" fontId="8" fillId="0" borderId="0" xfId="66"/>
    <xf numFmtId="4" fontId="59" fillId="0" borderId="36" xfId="0" applyNumberFormat="1" applyFont="1" applyBorder="1"/>
    <xf numFmtId="49" fontId="0" fillId="0" borderId="0" xfId="0" applyNumberFormat="1" applyAlignment="1">
      <alignment horizontal="center"/>
    </xf>
    <xf numFmtId="4" fontId="0" fillId="0" borderId="3" xfId="3" applyNumberFormat="1" applyFont="1" applyBorder="1" applyAlignment="1">
      <alignment horizontal="right"/>
    </xf>
    <xf numFmtId="0" fontId="59" fillId="0" borderId="48" xfId="0" applyFont="1" applyBorder="1"/>
    <xf numFmtId="168" fontId="37" fillId="3" borderId="20" xfId="3" applyNumberFormat="1" applyFont="1" applyFill="1" applyBorder="1"/>
    <xf numFmtId="0" fontId="33" fillId="0" borderId="1" xfId="0" applyFont="1" applyBorder="1" applyAlignment="1">
      <alignment horizontal="center"/>
    </xf>
    <xf numFmtId="0" fontId="7" fillId="0" borderId="0" xfId="68"/>
    <xf numFmtId="0" fontId="7" fillId="0" borderId="0" xfId="68" applyAlignment="1">
      <alignment horizontal="center"/>
    </xf>
    <xf numFmtId="4" fontId="7" fillId="0" borderId="0" xfId="68" applyNumberFormat="1"/>
    <xf numFmtId="2" fontId="7" fillId="0" borderId="20" xfId="68" applyNumberFormat="1" applyBorder="1" applyAlignment="1">
      <alignment vertical="center"/>
    </xf>
    <xf numFmtId="2" fontId="59" fillId="0" borderId="17" xfId="68" applyNumberFormat="1" applyFont="1" applyBorder="1"/>
    <xf numFmtId="2" fontId="59" fillId="0" borderId="18" xfId="68" applyNumberFormat="1" applyFont="1" applyBorder="1"/>
    <xf numFmtId="10" fontId="7" fillId="0" borderId="0" xfId="68" applyNumberFormat="1"/>
    <xf numFmtId="0" fontId="7" fillId="0" borderId="18" xfId="58" applyFont="1" applyBorder="1" applyAlignment="1">
      <alignment horizontal="center" vertical="center" wrapText="1"/>
    </xf>
    <xf numFmtId="0" fontId="33" fillId="0" borderId="1" xfId="0" applyFont="1" applyBorder="1" applyAlignment="1">
      <alignment wrapText="1"/>
    </xf>
    <xf numFmtId="2" fontId="7" fillId="0" borderId="0" xfId="68" applyNumberFormat="1"/>
    <xf numFmtId="0" fontId="2" fillId="0" borderId="0" xfId="74"/>
    <xf numFmtId="0" fontId="60" fillId="0" borderId="0" xfId="74" applyFont="1"/>
    <xf numFmtId="0" fontId="59" fillId="0" borderId="0" xfId="74" applyFont="1"/>
    <xf numFmtId="0" fontId="2" fillId="0" borderId="1" xfId="74" applyBorder="1"/>
    <xf numFmtId="0" fontId="59" fillId="0" borderId="1" xfId="74" applyFont="1" applyBorder="1" applyAlignment="1">
      <alignment horizontal="center"/>
    </xf>
    <xf numFmtId="0" fontId="2" fillId="0" borderId="1" xfId="74" applyBorder="1" applyAlignment="1">
      <alignment horizontal="center"/>
    </xf>
    <xf numFmtId="177" fontId="0" fillId="0" borderId="1" xfId="75" applyNumberFormat="1" applyFont="1" applyBorder="1" applyAlignment="1">
      <alignment horizontal="center"/>
    </xf>
    <xf numFmtId="165" fontId="0" fillId="0" borderId="1" xfId="75" applyFont="1" applyBorder="1" applyAlignment="1">
      <alignment horizontal="center"/>
    </xf>
    <xf numFmtId="0" fontId="2" fillId="0" borderId="8" xfId="74" applyBorder="1" applyAlignment="1">
      <alignment horizontal="center"/>
    </xf>
    <xf numFmtId="168" fontId="2" fillId="0" borderId="10" xfId="74" applyNumberFormat="1" applyBorder="1" applyAlignment="1">
      <alignment horizontal="center"/>
    </xf>
    <xf numFmtId="0" fontId="59" fillId="0" borderId="10" xfId="74" applyFont="1" applyBorder="1" applyAlignment="1">
      <alignment horizontal="center"/>
    </xf>
    <xf numFmtId="165" fontId="35" fillId="0" borderId="1" xfId="75" applyFont="1" applyBorder="1" applyAlignment="1"/>
    <xf numFmtId="0" fontId="65" fillId="0" borderId="1" xfId="74" applyFont="1" applyBorder="1" applyAlignment="1">
      <alignment horizontal="center"/>
    </xf>
    <xf numFmtId="0" fontId="59" fillId="0" borderId="0" xfId="74" applyFont="1" applyAlignment="1">
      <alignment horizontal="center"/>
    </xf>
    <xf numFmtId="165" fontId="35" fillId="0" borderId="0" xfId="75" applyFont="1" applyBorder="1" applyAlignment="1"/>
    <xf numFmtId="17" fontId="66" fillId="0" borderId="1" xfId="0" applyNumberFormat="1" applyFont="1" applyBorder="1"/>
    <xf numFmtId="165" fontId="2" fillId="0" borderId="0" xfId="74" applyNumberFormat="1"/>
    <xf numFmtId="167" fontId="67" fillId="0" borderId="1" xfId="3" applyFont="1" applyBorder="1" applyAlignment="1">
      <alignment horizontal="center" vertical="center"/>
    </xf>
    <xf numFmtId="0" fontId="2" fillId="0" borderId="9" xfId="74" applyBorder="1" applyAlignment="1">
      <alignment horizontal="center"/>
    </xf>
    <xf numFmtId="0" fontId="4" fillId="0" borderId="22" xfId="58" applyFont="1" applyBorder="1"/>
    <xf numFmtId="20" fontId="4" fillId="0" borderId="22" xfId="58" applyNumberFormat="1" applyFont="1" applyBorder="1"/>
    <xf numFmtId="0" fontId="4" fillId="0" borderId="36" xfId="58" applyFont="1" applyBorder="1"/>
    <xf numFmtId="20" fontId="4" fillId="0" borderId="36" xfId="58" applyNumberFormat="1" applyFont="1" applyBorder="1"/>
    <xf numFmtId="0" fontId="0" fillId="0" borderId="1" xfId="0" applyBorder="1" applyAlignment="1">
      <alignment wrapText="1"/>
    </xf>
    <xf numFmtId="13" fontId="33" fillId="3" borderId="1" xfId="0" applyNumberFormat="1" applyFont="1" applyFill="1" applyBorder="1" applyAlignment="1">
      <alignment horizontal="center" vertical="center"/>
    </xf>
    <xf numFmtId="17" fontId="66" fillId="0" borderId="1" xfId="0" applyNumberFormat="1" applyFont="1" applyBorder="1" applyAlignment="1">
      <alignment horizontal="center" vertical="center"/>
    </xf>
    <xf numFmtId="177" fontId="66" fillId="0" borderId="1" xfId="3" applyNumberFormat="1" applyFont="1" applyBorder="1" applyAlignment="1">
      <alignment horizontal="center" vertical="center"/>
    </xf>
    <xf numFmtId="168" fontId="67" fillId="0" borderId="1" xfId="3" applyNumberFormat="1" applyFont="1" applyBorder="1"/>
    <xf numFmtId="168" fontId="67" fillId="0" borderId="1" xfId="3" applyNumberFormat="1" applyFont="1" applyBorder="1" applyAlignment="1">
      <alignment horizontal="center" vertical="center"/>
    </xf>
    <xf numFmtId="2" fontId="7" fillId="0" borderId="1" xfId="68" applyNumberFormat="1" applyBorder="1" applyAlignment="1">
      <alignment vertical="center"/>
    </xf>
    <xf numFmtId="20" fontId="17" fillId="0" borderId="0" xfId="58" applyNumberFormat="1"/>
    <xf numFmtId="176" fontId="31" fillId="0" borderId="0" xfId="25" applyNumberFormat="1"/>
    <xf numFmtId="178" fontId="31" fillId="0" borderId="0" xfId="3" applyNumberFormat="1" applyFont="1"/>
    <xf numFmtId="179" fontId="31" fillId="0" borderId="0" xfId="25" applyNumberFormat="1"/>
    <xf numFmtId="13" fontId="33" fillId="3" borderId="2" xfId="0" applyNumberFormat="1" applyFont="1" applyFill="1" applyBorder="1" applyAlignment="1">
      <alignment vertical="center"/>
    </xf>
    <xf numFmtId="180" fontId="53" fillId="0" borderId="20" xfId="3" applyNumberFormat="1" applyFont="1" applyBorder="1" applyAlignment="1">
      <alignment horizontal="center" vertical="center" wrapText="1"/>
    </xf>
    <xf numFmtId="165" fontId="68" fillId="0" borderId="0" xfId="0" applyNumberFormat="1" applyFont="1"/>
    <xf numFmtId="0" fontId="68" fillId="0" borderId="0" xfId="0" applyFont="1"/>
    <xf numFmtId="10" fontId="68" fillId="0" borderId="0" xfId="2" applyNumberFormat="1" applyFont="1" applyFill="1"/>
    <xf numFmtId="165" fontId="0" fillId="0" borderId="0" xfId="0" applyNumberFormat="1"/>
    <xf numFmtId="0" fontId="36" fillId="0" borderId="0" xfId="0" applyFont="1"/>
    <xf numFmtId="2" fontId="59" fillId="0" borderId="33" xfId="0" applyNumberFormat="1" applyFont="1" applyBorder="1"/>
    <xf numFmtId="4" fontId="0" fillId="0" borderId="1" xfId="3" applyNumberFormat="1" applyFont="1" applyFill="1" applyBorder="1" applyAlignment="1">
      <alignment horizontal="right"/>
    </xf>
    <xf numFmtId="4" fontId="0" fillId="0" borderId="1" xfId="0" applyNumberFormat="1" applyFill="1" applyBorder="1"/>
    <xf numFmtId="4" fontId="59" fillId="0" borderId="58" xfId="0" applyNumberFormat="1" applyFont="1" applyFill="1" applyBorder="1"/>
    <xf numFmtId="2" fontId="0" fillId="0" borderId="2" xfId="0" applyNumberFormat="1" applyFill="1" applyBorder="1"/>
    <xf numFmtId="2" fontId="0" fillId="0" borderId="63" xfId="0" applyNumberFormat="1" applyFill="1" applyBorder="1"/>
    <xf numFmtId="0" fontId="35" fillId="0" borderId="32" xfId="0" applyFont="1" applyBorder="1" applyAlignment="1">
      <alignment horizontal="center" vertical="center"/>
    </xf>
    <xf numFmtId="0" fontId="35" fillId="0" borderId="33" xfId="0" applyFont="1" applyBorder="1" applyAlignment="1">
      <alignment horizontal="center" vertical="center"/>
    </xf>
    <xf numFmtId="167" fontId="35" fillId="0" borderId="14" xfId="3" applyFont="1" applyBorder="1" applyAlignment="1">
      <alignment horizontal="left" vertical="center"/>
    </xf>
    <xf numFmtId="167" fontId="35" fillId="0" borderId="9" xfId="3" applyFont="1" applyBorder="1" applyAlignment="1">
      <alignment horizontal="left" vertical="center"/>
    </xf>
    <xf numFmtId="0" fontId="47" fillId="8" borderId="25" xfId="0" applyFont="1" applyFill="1" applyBorder="1" applyAlignment="1">
      <alignment horizontal="center" vertical="center"/>
    </xf>
    <xf numFmtId="0" fontId="47" fillId="8" borderId="26" xfId="0" applyFont="1" applyFill="1" applyBorder="1" applyAlignment="1">
      <alignment horizontal="center" vertical="center"/>
    </xf>
    <xf numFmtId="0" fontId="47" fillId="8" borderId="27" xfId="0" applyFont="1" applyFill="1" applyBorder="1" applyAlignment="1">
      <alignment horizontal="center" vertical="center"/>
    </xf>
    <xf numFmtId="0" fontId="39" fillId="8" borderId="44" xfId="0" applyFont="1" applyFill="1" applyBorder="1" applyAlignment="1">
      <alignment horizontal="center" vertical="center"/>
    </xf>
    <xf numFmtId="0" fontId="39" fillId="8" borderId="42" xfId="0" applyFont="1" applyFill="1" applyBorder="1" applyAlignment="1">
      <alignment horizontal="center" vertical="center"/>
    </xf>
    <xf numFmtId="0" fontId="39" fillId="8" borderId="45" xfId="0" applyFont="1" applyFill="1" applyBorder="1" applyAlignment="1">
      <alignment horizontal="center" vertical="center"/>
    </xf>
    <xf numFmtId="167" fontId="35" fillId="0" borderId="5" xfId="3" applyFont="1" applyBorder="1" applyAlignment="1">
      <alignment horizontal="center" vertical="center"/>
    </xf>
    <xf numFmtId="167" fontId="35" fillId="0" borderId="6" xfId="3" applyFont="1" applyBorder="1" applyAlignment="1">
      <alignment horizontal="center" vertical="center"/>
    </xf>
    <xf numFmtId="167" fontId="35" fillId="0" borderId="43" xfId="3" applyFont="1" applyBorder="1" applyAlignment="1">
      <alignment horizontal="center" vertical="center"/>
    </xf>
    <xf numFmtId="167" fontId="36" fillId="8" borderId="5" xfId="3" applyFont="1" applyFill="1" applyBorder="1" applyAlignment="1">
      <alignment horizontal="center" vertical="center"/>
    </xf>
    <xf numFmtId="167" fontId="36" fillId="8" borderId="6" xfId="3" applyFont="1" applyFill="1" applyBorder="1" applyAlignment="1">
      <alignment horizontal="center" vertical="center"/>
    </xf>
    <xf numFmtId="167" fontId="36" fillId="8" borderId="7" xfId="3" applyFont="1" applyFill="1" applyBorder="1" applyAlignment="1">
      <alignment horizontal="center" vertical="center"/>
    </xf>
    <xf numFmtId="0" fontId="64" fillId="4" borderId="0" xfId="0" applyFont="1" applyFill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5" fillId="0" borderId="60" xfId="0" applyFont="1" applyBorder="1" applyAlignment="1">
      <alignment horizontal="center" vertical="center"/>
    </xf>
    <xf numFmtId="167" fontId="63" fillId="4" borderId="0" xfId="3" applyFont="1" applyFill="1" applyAlignment="1">
      <alignment horizontal="center" vertical="center"/>
    </xf>
    <xf numFmtId="167" fontId="64" fillId="4" borderId="0" xfId="3" applyFont="1" applyFill="1" applyAlignment="1">
      <alignment horizontal="center" vertical="center"/>
    </xf>
    <xf numFmtId="0" fontId="47" fillId="8" borderId="21" xfId="0" applyFont="1" applyFill="1" applyBorder="1" applyAlignment="1">
      <alignment horizontal="center" vertical="center"/>
    </xf>
    <xf numFmtId="0" fontId="47" fillId="8" borderId="22" xfId="0" applyFont="1" applyFill="1" applyBorder="1" applyAlignment="1">
      <alignment horizontal="center" vertical="center"/>
    </xf>
    <xf numFmtId="0" fontId="47" fillId="8" borderId="12" xfId="0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36" xfId="0" applyFont="1" applyBorder="1" applyAlignment="1">
      <alignment horizontal="center" vertical="center"/>
    </xf>
    <xf numFmtId="9" fontId="39" fillId="0" borderId="21" xfId="2" applyFont="1" applyBorder="1" applyAlignment="1">
      <alignment horizontal="center"/>
    </xf>
    <xf numFmtId="9" fontId="39" fillId="0" borderId="22" xfId="2" applyFont="1" applyBorder="1" applyAlignment="1">
      <alignment horizontal="center"/>
    </xf>
    <xf numFmtId="9" fontId="39" fillId="0" borderId="12" xfId="2" applyFont="1" applyBorder="1" applyAlignment="1">
      <alignment horizontal="center"/>
    </xf>
    <xf numFmtId="0" fontId="36" fillId="10" borderId="25" xfId="0" applyFont="1" applyFill="1" applyBorder="1" applyAlignment="1">
      <alignment horizontal="center" vertical="center"/>
    </xf>
    <xf numFmtId="0" fontId="36" fillId="10" borderId="26" xfId="0" applyFont="1" applyFill="1" applyBorder="1" applyAlignment="1">
      <alignment horizontal="center" vertical="center"/>
    </xf>
    <xf numFmtId="0" fontId="36" fillId="10" borderId="27" xfId="0" applyFont="1" applyFill="1" applyBorder="1" applyAlignment="1">
      <alignment horizontal="center" vertical="center"/>
    </xf>
    <xf numFmtId="0" fontId="59" fillId="0" borderId="8" xfId="74" applyFont="1" applyBorder="1" applyAlignment="1">
      <alignment horizontal="center"/>
    </xf>
    <xf numFmtId="0" fontId="59" fillId="0" borderId="9" xfId="74" applyFont="1" applyBorder="1" applyAlignment="1">
      <alignment horizontal="center"/>
    </xf>
    <xf numFmtId="0" fontId="59" fillId="0" borderId="10" xfId="74" applyFont="1" applyBorder="1" applyAlignment="1">
      <alignment horizontal="center"/>
    </xf>
    <xf numFmtId="0" fontId="59" fillId="0" borderId="21" xfId="58" applyFont="1" applyBorder="1" applyAlignment="1">
      <alignment horizontal="center" vertical="center"/>
    </xf>
    <xf numFmtId="0" fontId="59" fillId="0" borderId="24" xfId="58" applyFont="1" applyBorder="1" applyAlignment="1">
      <alignment horizontal="center" vertical="center"/>
    </xf>
    <xf numFmtId="0" fontId="3" fillId="0" borderId="33" xfId="58" applyFont="1" applyBorder="1" applyAlignment="1">
      <alignment horizontal="center" vertical="center"/>
    </xf>
    <xf numFmtId="0" fontId="17" fillId="0" borderId="58" xfId="58" applyBorder="1" applyAlignment="1">
      <alignment horizontal="center" vertical="center"/>
    </xf>
    <xf numFmtId="0" fontId="4" fillId="0" borderId="33" xfId="58" applyFont="1" applyBorder="1" applyAlignment="1">
      <alignment horizontal="center" vertical="center"/>
    </xf>
    <xf numFmtId="0" fontId="59" fillId="0" borderId="47" xfId="58" applyFont="1" applyBorder="1" applyAlignment="1">
      <alignment horizontal="center" vertical="center"/>
    </xf>
    <xf numFmtId="0" fontId="15" fillId="0" borderId="33" xfId="58" applyFont="1" applyBorder="1" applyAlignment="1">
      <alignment horizontal="center" vertical="center" wrapText="1"/>
    </xf>
    <xf numFmtId="0" fontId="17" fillId="0" borderId="63" xfId="58" applyBorder="1" applyAlignment="1">
      <alignment horizontal="center" vertical="center" wrapText="1"/>
    </xf>
    <xf numFmtId="0" fontId="1" fillId="0" borderId="33" xfId="58" applyFont="1" applyBorder="1" applyAlignment="1">
      <alignment horizontal="center" vertical="center" wrapText="1"/>
    </xf>
    <xf numFmtId="0" fontId="17" fillId="0" borderId="33" xfId="58" applyBorder="1" applyAlignment="1">
      <alignment horizontal="center" vertical="center"/>
    </xf>
    <xf numFmtId="0" fontId="11" fillId="0" borderId="33" xfId="58" applyFont="1" applyBorder="1" applyAlignment="1">
      <alignment horizontal="center" vertical="center"/>
    </xf>
    <xf numFmtId="0" fontId="11" fillId="0" borderId="33" xfId="58" applyFont="1" applyBorder="1" applyAlignment="1">
      <alignment horizontal="center" vertical="center" wrapText="1"/>
    </xf>
    <xf numFmtId="0" fontId="17" fillId="0" borderId="58" xfId="58" applyBorder="1" applyAlignment="1">
      <alignment horizontal="center" vertical="center" wrapText="1"/>
    </xf>
    <xf numFmtId="0" fontId="59" fillId="0" borderId="5" xfId="0" applyFont="1" applyBorder="1" applyAlignment="1">
      <alignment horizontal="center"/>
    </xf>
    <xf numFmtId="0" fontId="59" fillId="0" borderId="6" xfId="0" applyFont="1" applyBorder="1" applyAlignment="1">
      <alignment horizontal="center"/>
    </xf>
    <xf numFmtId="0" fontId="59" fillId="0" borderId="7" xfId="0" applyFont="1" applyBorder="1" applyAlignment="1">
      <alignment horizontal="center"/>
    </xf>
    <xf numFmtId="0" fontId="59" fillId="0" borderId="5" xfId="0" applyFont="1" applyBorder="1" applyAlignment="1">
      <alignment horizontal="center" wrapText="1"/>
    </xf>
    <xf numFmtId="0" fontId="59" fillId="0" borderId="6" xfId="0" applyFont="1" applyBorder="1" applyAlignment="1">
      <alignment horizontal="center" wrapText="1"/>
    </xf>
    <xf numFmtId="0" fontId="59" fillId="0" borderId="7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59" fillId="0" borderId="16" xfId="0" applyFont="1" applyBorder="1" applyAlignment="1">
      <alignment horizontal="center"/>
    </xf>
    <xf numFmtId="0" fontId="59" fillId="0" borderId="17" xfId="0" applyFont="1" applyBorder="1" applyAlignment="1">
      <alignment horizontal="center"/>
    </xf>
    <xf numFmtId="0" fontId="59" fillId="0" borderId="18" xfId="0" applyFont="1" applyBorder="1" applyAlignment="1">
      <alignment horizontal="center"/>
    </xf>
    <xf numFmtId="0" fontId="59" fillId="0" borderId="5" xfId="0" applyFont="1" applyBorder="1" applyAlignment="1">
      <alignment horizontal="center" vertical="center" wrapText="1"/>
    </xf>
    <xf numFmtId="0" fontId="59" fillId="0" borderId="6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 wrapText="1"/>
    </xf>
    <xf numFmtId="0" fontId="59" fillId="0" borderId="16" xfId="0" applyFont="1" applyBorder="1" applyAlignment="1">
      <alignment horizontal="center" vertical="center" wrapText="1"/>
    </xf>
    <xf numFmtId="0" fontId="59" fillId="0" borderId="43" xfId="0" applyFont="1" applyBorder="1" applyAlignment="1">
      <alignment horizontal="center" vertical="center" wrapText="1"/>
    </xf>
    <xf numFmtId="0" fontId="59" fillId="0" borderId="17" xfId="0" applyFont="1" applyBorder="1" applyAlignment="1">
      <alignment horizontal="center" vertical="center" wrapText="1"/>
    </xf>
    <xf numFmtId="0" fontId="59" fillId="0" borderId="18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right"/>
    </xf>
    <xf numFmtId="0" fontId="35" fillId="0" borderId="17" xfId="0" applyFont="1" applyBorder="1" applyAlignment="1">
      <alignment horizontal="right"/>
    </xf>
    <xf numFmtId="2" fontId="0" fillId="0" borderId="49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15" xfId="0" applyBorder="1" applyAlignment="1">
      <alignment horizontal="center"/>
    </xf>
    <xf numFmtId="0" fontId="7" fillId="0" borderId="23" xfId="68" applyBorder="1" applyAlignment="1">
      <alignment horizontal="center"/>
    </xf>
    <xf numFmtId="0" fontId="7" fillId="0" borderId="1" xfId="68" applyBorder="1" applyAlignment="1">
      <alignment horizontal="center"/>
    </xf>
    <xf numFmtId="0" fontId="7" fillId="0" borderId="20" xfId="68" applyBorder="1" applyAlignment="1">
      <alignment horizontal="center"/>
    </xf>
    <xf numFmtId="0" fontId="59" fillId="0" borderId="14" xfId="0" applyFont="1" applyBorder="1" applyAlignment="1">
      <alignment horizontal="center" vertical="center" wrapText="1"/>
    </xf>
    <xf numFmtId="0" fontId="59" fillId="0" borderId="9" xfId="0" applyFont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59" fillId="0" borderId="40" xfId="0" applyFont="1" applyBorder="1" applyAlignment="1">
      <alignment horizontal="center" vertical="center" wrapText="1"/>
    </xf>
    <xf numFmtId="0" fontId="59" fillId="0" borderId="41" xfId="0" applyFont="1" applyBorder="1" applyAlignment="1">
      <alignment horizontal="center" vertical="center" wrapText="1"/>
    </xf>
    <xf numFmtId="0" fontId="59" fillId="0" borderId="59" xfId="0" applyFont="1" applyBorder="1" applyAlignment="1">
      <alignment horizontal="center" vertical="center" wrapText="1"/>
    </xf>
    <xf numFmtId="175" fontId="59" fillId="0" borderId="25" xfId="0" applyNumberFormat="1" applyFont="1" applyBorder="1" applyAlignment="1">
      <alignment horizontal="center"/>
    </xf>
    <xf numFmtId="175" fontId="59" fillId="0" borderId="26" xfId="0" applyNumberFormat="1" applyFont="1" applyBorder="1" applyAlignment="1">
      <alignment horizontal="center"/>
    </xf>
    <xf numFmtId="175" fontId="59" fillId="0" borderId="27" xfId="0" applyNumberFormat="1" applyFont="1" applyBorder="1" applyAlignment="1">
      <alignment horizontal="center"/>
    </xf>
    <xf numFmtId="175" fontId="59" fillId="0" borderId="38" xfId="0" applyNumberFormat="1" applyFont="1" applyBorder="1" applyAlignment="1">
      <alignment horizontal="center"/>
    </xf>
    <xf numFmtId="175" fontId="59" fillId="0" borderId="0" xfId="0" applyNumberFormat="1" applyFont="1" applyAlignment="1">
      <alignment horizontal="center"/>
    </xf>
    <xf numFmtId="175" fontId="59" fillId="0" borderId="39" xfId="0" applyNumberFormat="1" applyFon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21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59" fillId="0" borderId="57" xfId="0" applyFont="1" applyBorder="1" applyAlignment="1">
      <alignment horizontal="center" vertical="center" wrapText="1"/>
    </xf>
    <xf numFmtId="0" fontId="59" fillId="0" borderId="65" xfId="0" applyFont="1" applyBorder="1" applyAlignment="1">
      <alignment horizontal="center" vertical="center" wrapText="1"/>
    </xf>
    <xf numFmtId="0" fontId="59" fillId="0" borderId="58" xfId="0" applyFont="1" applyBorder="1" applyAlignment="1">
      <alignment horizontal="center" vertical="center" wrapText="1"/>
    </xf>
    <xf numFmtId="0" fontId="59" fillId="0" borderId="43" xfId="0" applyFont="1" applyBorder="1" applyAlignment="1">
      <alignment horizontal="center"/>
    </xf>
    <xf numFmtId="0" fontId="0" fillId="0" borderId="49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55" xfId="0" applyNumberFormat="1" applyBorder="1" applyAlignment="1">
      <alignment horizontal="center"/>
    </xf>
    <xf numFmtId="2" fontId="0" fillId="0" borderId="56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61" xfId="0" applyNumberFormat="1" applyBorder="1" applyAlignment="1">
      <alignment horizontal="center"/>
    </xf>
    <xf numFmtId="0" fontId="59" fillId="0" borderId="23" xfId="0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 wrapText="1"/>
    </xf>
    <xf numFmtId="0" fontId="59" fillId="0" borderId="32" xfId="0" applyFont="1" applyBorder="1" applyAlignment="1">
      <alignment horizontal="center"/>
    </xf>
    <xf numFmtId="0" fontId="59" fillId="0" borderId="66" xfId="0" applyFont="1" applyBorder="1" applyAlignment="1">
      <alignment horizontal="center"/>
    </xf>
    <xf numFmtId="0" fontId="59" fillId="0" borderId="33" xfId="0" applyFont="1" applyBorder="1" applyAlignment="1">
      <alignment horizontal="center"/>
    </xf>
    <xf numFmtId="2" fontId="7" fillId="0" borderId="21" xfId="68" applyNumberFormat="1" applyBorder="1" applyAlignment="1">
      <alignment horizontal="center"/>
    </xf>
    <xf numFmtId="2" fontId="7" fillId="0" borderId="60" xfId="68" applyNumberFormat="1" applyBorder="1" applyAlignment="1">
      <alignment horizontal="center"/>
    </xf>
    <xf numFmtId="2" fontId="7" fillId="0" borderId="22" xfId="68" applyNumberFormat="1" applyBorder="1" applyAlignment="1">
      <alignment horizontal="center"/>
    </xf>
    <xf numFmtId="2" fontId="7" fillId="0" borderId="12" xfId="68" applyNumberFormat="1" applyBorder="1" applyAlignment="1">
      <alignment horizontal="center"/>
    </xf>
    <xf numFmtId="2" fontId="7" fillId="0" borderId="23" xfId="68" applyNumberFormat="1" applyBorder="1" applyAlignment="1">
      <alignment horizontal="right" vertical="center" wrapText="1"/>
    </xf>
    <xf numFmtId="2" fontId="7" fillId="0" borderId="10" xfId="68" applyNumberFormat="1" applyBorder="1" applyAlignment="1">
      <alignment horizontal="right" vertical="center" wrapText="1"/>
    </xf>
    <xf numFmtId="2" fontId="7" fillId="0" borderId="1" xfId="68" applyNumberFormat="1" applyBorder="1" applyAlignment="1">
      <alignment horizontal="right" vertical="center" wrapText="1"/>
    </xf>
    <xf numFmtId="2" fontId="7" fillId="0" borderId="55" xfId="68" applyNumberFormat="1" applyBorder="1" applyAlignment="1">
      <alignment horizontal="center" vertical="center" wrapText="1"/>
    </xf>
    <xf numFmtId="2" fontId="7" fillId="0" borderId="56" xfId="68" applyNumberFormat="1" applyBorder="1" applyAlignment="1">
      <alignment horizontal="center" vertical="center" wrapText="1"/>
    </xf>
    <xf numFmtId="2" fontId="7" fillId="0" borderId="61" xfId="68" applyNumberFormat="1" applyBorder="1" applyAlignment="1">
      <alignment horizontal="center" vertical="center" wrapText="1"/>
    </xf>
    <xf numFmtId="2" fontId="59" fillId="0" borderId="16" xfId="68" applyNumberFormat="1" applyFont="1" applyBorder="1" applyAlignment="1">
      <alignment horizontal="right" vertical="center" wrapText="1"/>
    </xf>
    <xf numFmtId="2" fontId="59" fillId="0" borderId="43" xfId="68" applyNumberFormat="1" applyFont="1" applyBorder="1" applyAlignment="1">
      <alignment horizontal="right" vertical="center" wrapText="1"/>
    </xf>
    <xf numFmtId="2" fontId="59" fillId="0" borderId="17" xfId="68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center"/>
    </xf>
    <xf numFmtId="0" fontId="35" fillId="0" borderId="55" xfId="0" applyFont="1" applyBorder="1" applyAlignment="1">
      <alignment horizontal="right"/>
    </xf>
    <xf numFmtId="0" fontId="35" fillId="0" borderId="56" xfId="0" applyFont="1" applyBorder="1" applyAlignment="1">
      <alignment horizontal="right"/>
    </xf>
    <xf numFmtId="0" fontId="35" fillId="0" borderId="62" xfId="0" applyFont="1" applyBorder="1" applyAlignment="1">
      <alignment horizontal="right"/>
    </xf>
    <xf numFmtId="0" fontId="59" fillId="0" borderId="19" xfId="0" applyFont="1" applyBorder="1" applyAlignment="1">
      <alignment horizontal="center"/>
    </xf>
    <xf numFmtId="0" fontId="59" fillId="0" borderId="11" xfId="0" applyFont="1" applyBorder="1" applyAlignment="1">
      <alignment horizontal="center"/>
    </xf>
    <xf numFmtId="0" fontId="59" fillId="0" borderId="46" xfId="0" applyFont="1" applyBorder="1" applyAlignment="1">
      <alignment horizontal="center"/>
    </xf>
    <xf numFmtId="0" fontId="36" fillId="10" borderId="5" xfId="0" applyFont="1" applyFill="1" applyBorder="1" applyAlignment="1">
      <alignment horizontal="center" vertical="center"/>
    </xf>
    <xf numFmtId="0" fontId="36" fillId="10" borderId="6" xfId="0" applyFont="1" applyFill="1" applyBorder="1" applyAlignment="1">
      <alignment horizontal="center" vertical="center"/>
    </xf>
    <xf numFmtId="0" fontId="47" fillId="10" borderId="21" xfId="0" applyFont="1" applyFill="1" applyBorder="1" applyAlignment="1">
      <alignment horizontal="center"/>
    </xf>
    <xf numFmtId="0" fontId="47" fillId="10" borderId="22" xfId="0" applyFont="1" applyFill="1" applyBorder="1" applyAlignment="1">
      <alignment horizontal="center"/>
    </xf>
    <xf numFmtId="0" fontId="47" fillId="10" borderId="12" xfId="0" applyFont="1" applyFill="1" applyBorder="1" applyAlignment="1">
      <alignment horizontal="center"/>
    </xf>
  </cellXfs>
  <cellStyles count="76">
    <cellStyle name="Hyperlink" xfId="1" builtinId="8"/>
    <cellStyle name="Moeda 2" xfId="6"/>
    <cellStyle name="Moeda 3" xfId="7"/>
    <cellStyle name="Moeda 4" xfId="38"/>
    <cellStyle name="Moeda 5" xfId="43"/>
    <cellStyle name="Normal" xfId="0" builtinId="0"/>
    <cellStyle name="Normal 10" xfId="26"/>
    <cellStyle name="Normal 11" xfId="27"/>
    <cellStyle name="Normal 12" xfId="30"/>
    <cellStyle name="Normal 13" xfId="32"/>
    <cellStyle name="Normal 14" xfId="34"/>
    <cellStyle name="Normal 15" xfId="37"/>
    <cellStyle name="Normal 16" xfId="39"/>
    <cellStyle name="Normal 17" xfId="41"/>
    <cellStyle name="Normal 18" xfId="44"/>
    <cellStyle name="Normal 18 2" xfId="63"/>
    <cellStyle name="Normal 19" xfId="46"/>
    <cellStyle name="Normal 2" xfId="8"/>
    <cellStyle name="Normal 2 2" xfId="9"/>
    <cellStyle name="Normal 2 3" xfId="25"/>
    <cellStyle name="Normal 2 3 2" xfId="58"/>
    <cellStyle name="Normal 20" xfId="48"/>
    <cellStyle name="Normal 21" xfId="50"/>
    <cellStyle name="Normal 22" xfId="53"/>
    <cellStyle name="Normal 23" xfId="55"/>
    <cellStyle name="Normal 24" xfId="59"/>
    <cellStyle name="Normal 24 2" xfId="66"/>
    <cellStyle name="Normal 24 2 2" xfId="68"/>
    <cellStyle name="Normal 25" xfId="61"/>
    <cellStyle name="Normal 26" xfId="62"/>
    <cellStyle name="Normal 27" xfId="64"/>
    <cellStyle name="Normal 28" xfId="65"/>
    <cellStyle name="Normal 29" xfId="70"/>
    <cellStyle name="Normal 3" xfId="10"/>
    <cellStyle name="Normal 30" xfId="72"/>
    <cellStyle name="Normal 4" xfId="11"/>
    <cellStyle name="Normal 5" xfId="12"/>
    <cellStyle name="Normal 6" xfId="4"/>
    <cellStyle name="Normal 6 2" xfId="51"/>
    <cellStyle name="Normal 6 2 2" xfId="74"/>
    <cellStyle name="Normal 6 3" xfId="57"/>
    <cellStyle name="Normal 7" xfId="13"/>
    <cellStyle name="Normal 8" xfId="14"/>
    <cellStyle name="Normal 9" xfId="15"/>
    <cellStyle name="Porcentagem" xfId="2" builtinId="5"/>
    <cellStyle name="Porcentagem 2" xfId="16"/>
    <cellStyle name="Porcentagem 3" xfId="17"/>
    <cellStyle name="Separador de milhares" xfId="3" builtinId="3"/>
    <cellStyle name="Separador de milhares 10" xfId="28"/>
    <cellStyle name="Separador de milhares 11" xfId="31"/>
    <cellStyle name="Separador de milhares 12" xfId="33"/>
    <cellStyle name="Separador de milhares 13" xfId="35"/>
    <cellStyle name="Separador de milhares 14" xfId="36"/>
    <cellStyle name="Separador de milhares 15" xfId="40"/>
    <cellStyle name="Separador de milhares 16" xfId="42"/>
    <cellStyle name="Separador de milhares 17" xfId="45"/>
    <cellStyle name="Separador de milhares 18" xfId="47"/>
    <cellStyle name="Separador de milhares 19" xfId="49"/>
    <cellStyle name="Separador de milhares 2" xfId="18"/>
    <cellStyle name="Separador de milhares 20" xfId="54"/>
    <cellStyle name="Separador de milhares 21" xfId="56"/>
    <cellStyle name="Separador de milhares 22" xfId="60"/>
    <cellStyle name="Separador de milhares 22 2" xfId="67"/>
    <cellStyle name="Separador de milhares 22 2 2" xfId="69"/>
    <cellStyle name="Separador de milhares 3" xfId="19"/>
    <cellStyle name="Separador de milhares 4" xfId="20"/>
    <cellStyle name="Separador de milhares 5" xfId="5"/>
    <cellStyle name="Separador de milhares 5 2" xfId="52"/>
    <cellStyle name="Separador de milhares 5 2 2" xfId="75"/>
    <cellStyle name="Separador de milhares 6" xfId="21"/>
    <cellStyle name="Separador de milhares 7" xfId="22"/>
    <cellStyle name="Separador de milhares 8" xfId="23"/>
    <cellStyle name="Separador de milhares 9" xfId="29"/>
    <cellStyle name="Vírgula 2" xfId="24"/>
    <cellStyle name="Vírgula 3" xfId="71"/>
    <cellStyle name="Vírgula 4" xfId="7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360045</xdr:colOff>
      <xdr:row>173</xdr:row>
      <xdr:rowOff>66040</xdr:rowOff>
    </xdr:from>
    <xdr:to>
      <xdr:col>5</xdr:col>
      <xdr:colOff>760095</xdr:colOff>
      <xdr:row>173</xdr:row>
      <xdr:rowOff>66040</xdr:rowOff>
    </xdr:to>
    <xdr:cxnSp macro="">
      <xdr:nvCxnSpPr>
        <xdr:cNvPr id="2" name="Line 2">
          <a:extLst>
            <a:ext uri="{FF2B5EF4-FFF2-40B4-BE49-F238E27FC236}">
              <a16:creationId xmlns="" xmlns:a16="http://schemas.microsoft.com/office/drawing/2014/main" id="{00000000-0008-0000-1200-000002000000}"/>
            </a:ext>
          </a:extLst>
        </xdr:cNvPr>
        <xdr:cNvCxnSpPr>
          <a:cxnSpLocks noChangeShapeType="1"/>
        </xdr:cNvCxnSpPr>
      </xdr:nvCxnSpPr>
      <xdr:spPr bwMode="auto">
        <a:xfrm>
          <a:off x="4703445" y="21219160"/>
          <a:ext cx="3280410" cy="0"/>
        </a:xfrm>
        <a:prstGeom prst="line">
          <a:avLst/>
        </a:prstGeom>
        <a:noFill/>
        <a:ln w="10668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="" xmlns:a16="http://schemas.microsoft.com/office/drawing/2014/main" id="{00000000-0008-0000-21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="" xmlns:a16="http://schemas.microsoft.com/office/drawing/2014/main" id="{00000000-0008-0000-21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tabSelected="1" workbookViewId="0">
      <selection activeCell="A10" sqref="A10"/>
    </sheetView>
  </sheetViews>
  <sheetFormatPr defaultRowHeight="12.75"/>
  <cols>
    <col min="1" max="1" width="7.5703125" customWidth="1"/>
    <col min="2" max="2" width="47.42578125" customWidth="1"/>
    <col min="3" max="3" width="16.85546875" customWidth="1"/>
    <col min="4" max="4" width="10.42578125" bestFit="1" customWidth="1"/>
  </cols>
  <sheetData>
    <row r="1" spans="1:3" ht="18">
      <c r="A1" s="133" t="s">
        <v>389</v>
      </c>
    </row>
    <row r="2" spans="1:3">
      <c r="A2" s="97" t="s">
        <v>486</v>
      </c>
    </row>
    <row r="3" spans="1:3">
      <c r="A3" s="284" t="s">
        <v>263</v>
      </c>
      <c r="B3" s="284" t="s">
        <v>315</v>
      </c>
      <c r="C3" s="284" t="s">
        <v>463</v>
      </c>
    </row>
    <row r="4" spans="1:3" ht="15.75" customHeight="1">
      <c r="A4" s="285">
        <v>1</v>
      </c>
      <c r="B4" s="463" t="s">
        <v>462</v>
      </c>
      <c r="C4" s="287">
        <f>'1. Coleta Orgânica e Selet'!F270</f>
        <v>65869.392003822344</v>
      </c>
    </row>
    <row r="5" spans="1:3" ht="14.25" customHeight="1">
      <c r="A5" s="285">
        <v>2</v>
      </c>
      <c r="B5" s="438" t="s">
        <v>469</v>
      </c>
      <c r="C5" s="287">
        <f>'2. Contentores'!F105</f>
        <v>4140.1273333333329</v>
      </c>
    </row>
    <row r="6" spans="1:3">
      <c r="A6" s="285"/>
      <c r="B6" s="290"/>
      <c r="C6" s="287"/>
    </row>
    <row r="7" spans="1:3">
      <c r="A7" s="288" t="s">
        <v>316</v>
      </c>
      <c r="B7" s="288"/>
      <c r="C7" s="289">
        <f>SUM(C4:C6)</f>
        <v>70009.519337155682</v>
      </c>
    </row>
    <row r="9" spans="1:3">
      <c r="C9" s="476">
        <v>66622</v>
      </c>
    </row>
    <row r="10" spans="1:3" ht="15.75">
      <c r="A10" s="480" t="s">
        <v>487</v>
      </c>
      <c r="C10" s="476">
        <f>C7-C9</f>
        <v>3387.5193371556816</v>
      </c>
    </row>
    <row r="11" spans="1:3">
      <c r="C11" s="477"/>
    </row>
    <row r="12" spans="1:3">
      <c r="C12" s="478">
        <f>C7/C9-1</f>
        <v>5.0846857451827931E-2</v>
      </c>
    </row>
    <row r="17" spans="1:3" ht="15.75">
      <c r="A17" s="480" t="s">
        <v>488</v>
      </c>
    </row>
    <row r="22" spans="1:3">
      <c r="C22" s="47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17"/>
  <sheetViews>
    <sheetView workbookViewId="0">
      <selection activeCell="A10" sqref="A10"/>
    </sheetView>
  </sheetViews>
  <sheetFormatPr defaultColWidth="9.140625" defaultRowHeight="12.75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>
      <c r="A1" s="209" t="s">
        <v>329</v>
      </c>
    </row>
    <row r="2" spans="1:1">
      <c r="A2" s="206"/>
    </row>
    <row r="3" spans="1:1">
      <c r="A3" s="206" t="s">
        <v>207</v>
      </c>
    </row>
    <row r="4" spans="1:1">
      <c r="A4" s="206"/>
    </row>
    <row r="5" spans="1:1">
      <c r="A5" s="206"/>
    </row>
    <row r="6" spans="1:1">
      <c r="A6" s="206"/>
    </row>
    <row r="7" spans="1:1">
      <c r="A7" s="206"/>
    </row>
    <row r="8" spans="1:1">
      <c r="A8" s="206"/>
    </row>
    <row r="9" spans="1:1">
      <c r="A9" s="206"/>
    </row>
    <row r="10" spans="1:1">
      <c r="A10" s="206"/>
    </row>
    <row r="11" spans="1:1">
      <c r="A11" s="206"/>
    </row>
    <row r="12" spans="1:1" ht="19.5">
      <c r="A12" s="207" t="s">
        <v>196</v>
      </c>
    </row>
    <row r="13" spans="1:1" ht="15">
      <c r="A13" s="207" t="s">
        <v>101</v>
      </c>
    </row>
    <row r="14" spans="1:1" ht="15">
      <c r="A14" s="207" t="s">
        <v>105</v>
      </c>
    </row>
    <row r="15" spans="1:1" ht="19.5">
      <c r="A15" s="207" t="s">
        <v>197</v>
      </c>
    </row>
    <row r="16" spans="1:1" ht="19.5">
      <c r="A16" s="207" t="s">
        <v>198</v>
      </c>
    </row>
    <row r="17" spans="1:1" ht="15.75" thickBot="1">
      <c r="A17" s="208" t="s">
        <v>102</v>
      </c>
    </row>
  </sheetData>
  <pageMargins left="0.90551181102362199" right="0.51181102362204722" top="0.74803149606299213" bottom="0.74803149606299213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35"/>
  <sheetViews>
    <sheetView topLeftCell="A11" workbookViewId="0">
      <selection activeCell="A10" sqref="A10"/>
    </sheetView>
  </sheetViews>
  <sheetFormatPr defaultColWidth="9.140625" defaultRowHeight="12.75"/>
  <cols>
    <col min="1" max="1" width="58.28515625" style="233" customWidth="1"/>
    <col min="2" max="2" width="11.140625" style="233" bestFit="1" customWidth="1"/>
    <col min="3" max="3" width="13.28515625" style="233" bestFit="1" customWidth="1"/>
    <col min="4" max="16384" width="9.140625" style="233"/>
  </cols>
  <sheetData>
    <row r="1" spans="1:7">
      <c r="A1" s="9" t="s">
        <v>173</v>
      </c>
    </row>
    <row r="2" spans="1:7">
      <c r="A2" s="238" t="s">
        <v>218</v>
      </c>
    </row>
    <row r="3" spans="1:7">
      <c r="A3" s="238" t="s">
        <v>243</v>
      </c>
    </row>
    <row r="4" spans="1:7">
      <c r="A4" s="5" t="s">
        <v>241</v>
      </c>
    </row>
    <row r="5" spans="1:7">
      <c r="A5" s="5"/>
    </row>
    <row r="6" spans="1:7" s="2" customFormat="1" ht="15.6" hidden="1" customHeight="1">
      <c r="A6" s="253" t="s">
        <v>247</v>
      </c>
      <c r="B6" s="3"/>
      <c r="C6" s="3"/>
      <c r="D6" s="3"/>
      <c r="E6" s="3"/>
      <c r="F6" s="3"/>
      <c r="G6" s="4"/>
    </row>
    <row r="7" spans="1:7" s="2" customFormat="1" ht="16.5" customHeight="1">
      <c r="A7" s="275" t="s">
        <v>248</v>
      </c>
      <c r="B7" s="3"/>
      <c r="C7" s="3"/>
      <c r="D7" s="4"/>
      <c r="E7" s="4"/>
      <c r="F7" s="4"/>
      <c r="G7" s="4"/>
    </row>
    <row r="8" spans="1:7" s="2" customFormat="1" ht="16.5" customHeight="1">
      <c r="A8" s="275" t="s">
        <v>249</v>
      </c>
      <c r="B8" s="3"/>
      <c r="C8" s="3"/>
      <c r="D8" s="4"/>
      <c r="E8" s="4"/>
      <c r="F8" s="4"/>
      <c r="G8" s="4"/>
    </row>
    <row r="9" spans="1:7" ht="13.5" thickBot="1"/>
    <row r="10" spans="1:7" ht="18">
      <c r="A10" s="640" t="s">
        <v>330</v>
      </c>
      <c r="B10" s="641"/>
      <c r="C10" s="642"/>
    </row>
    <row r="11" spans="1:7" ht="18">
      <c r="A11" s="250"/>
      <c r="B11" s="249"/>
      <c r="C11" s="251"/>
    </row>
    <row r="12" spans="1:7" s="97" customFormat="1" ht="15">
      <c r="A12" s="239" t="s">
        <v>238</v>
      </c>
      <c r="B12" s="240" t="s">
        <v>219</v>
      </c>
      <c r="C12" s="241" t="s">
        <v>114</v>
      </c>
    </row>
    <row r="13" spans="1:7" ht="14.25">
      <c r="A13" s="170" t="s">
        <v>227</v>
      </c>
      <c r="B13" s="242" t="s">
        <v>220</v>
      </c>
      <c r="C13" s="428">
        <v>10824</v>
      </c>
    </row>
    <row r="14" spans="1:7" ht="14.25">
      <c r="A14" s="170" t="s">
        <v>228</v>
      </c>
      <c r="B14" s="242" t="s">
        <v>225</v>
      </c>
      <c r="C14" s="475">
        <v>0.60548000000000002</v>
      </c>
    </row>
    <row r="15" spans="1:7" ht="14.25">
      <c r="A15" s="170" t="s">
        <v>229</v>
      </c>
      <c r="B15" s="242" t="s">
        <v>226</v>
      </c>
      <c r="C15" s="243">
        <f>C13*C14/1000</f>
        <v>6.5537155199999999</v>
      </c>
    </row>
    <row r="16" spans="1:7" ht="14.25">
      <c r="A16" s="170" t="s">
        <v>235</v>
      </c>
      <c r="B16" s="242" t="s">
        <v>221</v>
      </c>
      <c r="C16" s="244">
        <f>(C15*30)</f>
        <v>196.6114656</v>
      </c>
    </row>
    <row r="17" spans="1:3" ht="14.25">
      <c r="A17" s="170" t="s">
        <v>231</v>
      </c>
      <c r="B17" s="242" t="s">
        <v>88</v>
      </c>
      <c r="C17" s="247">
        <v>6</v>
      </c>
    </row>
    <row r="18" spans="1:3" ht="14.25">
      <c r="A18" s="170" t="s">
        <v>230</v>
      </c>
      <c r="B18" s="242" t="s">
        <v>226</v>
      </c>
      <c r="C18" s="243">
        <f>IFERROR(C15*7/C17,0)</f>
        <v>7.64600144</v>
      </c>
    </row>
    <row r="19" spans="1:3" ht="14.25">
      <c r="A19" s="170" t="s">
        <v>222</v>
      </c>
      <c r="B19" s="242" t="s">
        <v>223</v>
      </c>
      <c r="C19" s="187">
        <v>500</v>
      </c>
    </row>
    <row r="20" spans="1:3" ht="14.25">
      <c r="A20" s="170" t="s">
        <v>236</v>
      </c>
      <c r="B20" s="242"/>
      <c r="C20" s="171">
        <v>1</v>
      </c>
    </row>
    <row r="21" spans="1:3" ht="14.25">
      <c r="A21" s="170" t="s">
        <v>237</v>
      </c>
      <c r="B21" s="242" t="s">
        <v>224</v>
      </c>
      <c r="C21" s="171">
        <v>15</v>
      </c>
    </row>
    <row r="22" spans="1:3" ht="14.25">
      <c r="A22" s="170" t="s">
        <v>232</v>
      </c>
      <c r="B22" s="242" t="s">
        <v>221</v>
      </c>
      <c r="C22" s="244">
        <f>IF(AND(C21&gt;=15,C20=1),5.8,C21/2)</f>
        <v>5.8</v>
      </c>
    </row>
    <row r="23" spans="1:3" ht="14.25">
      <c r="A23" s="170" t="s">
        <v>233</v>
      </c>
      <c r="B23" s="242"/>
      <c r="C23" s="243">
        <f>IFERROR(C18/C22,0)</f>
        <v>1.3182761103448277</v>
      </c>
    </row>
    <row r="24" spans="1:3" ht="14.25">
      <c r="A24" s="170" t="s">
        <v>239</v>
      </c>
      <c r="B24" s="242"/>
      <c r="C24" s="247">
        <v>1</v>
      </c>
    </row>
    <row r="25" spans="1:3" ht="15" thickBot="1">
      <c r="A25" s="245" t="s">
        <v>234</v>
      </c>
      <c r="B25" s="246"/>
      <c r="C25" s="248">
        <f>IFERROR(C23/C24,0)</f>
        <v>1.3182761103448277</v>
      </c>
    </row>
    <row r="26" spans="1:3" ht="14.25">
      <c r="A26" s="130"/>
      <c r="B26" s="130"/>
      <c r="C26" s="255"/>
    </row>
    <row r="27" spans="1:3" ht="14.25">
      <c r="A27" s="130" t="s">
        <v>252</v>
      </c>
    </row>
    <row r="28" spans="1:3">
      <c r="A28" s="233" t="s">
        <v>253</v>
      </c>
    </row>
    <row r="29" spans="1:3">
      <c r="A29" s="233" t="s">
        <v>254</v>
      </c>
    </row>
    <row r="30" spans="1:3">
      <c r="A30" s="233" t="s">
        <v>250</v>
      </c>
    </row>
    <row r="31" spans="1:3">
      <c r="A31" s="233" t="s">
        <v>255</v>
      </c>
    </row>
    <row r="32" spans="1:3">
      <c r="A32" s="233" t="s">
        <v>256</v>
      </c>
    </row>
    <row r="33" spans="1:1">
      <c r="A33" s="233" t="s">
        <v>257</v>
      </c>
    </row>
    <row r="34" spans="1:1">
      <c r="A34" s="233" t="s">
        <v>258</v>
      </c>
    </row>
    <row r="35" spans="1:1">
      <c r="A35" s="233" t="s">
        <v>251</v>
      </c>
    </row>
  </sheetData>
  <mergeCells count="1">
    <mergeCell ref="A10:C10"/>
  </mergeCells>
  <conditionalFormatting sqref="C22">
    <cfRule type="expression" dxfId="0" priority="1">
      <formula>"SE(E(C20&gt;=15;C19=1))"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9"/>
  <sheetViews>
    <sheetView topLeftCell="A249" zoomScale="110" zoomScaleNormal="110" zoomScaleSheetLayoutView="100" workbookViewId="0">
      <selection activeCell="A10" sqref="A10"/>
    </sheetView>
  </sheetViews>
  <sheetFormatPr defaultColWidth="9.140625" defaultRowHeight="12.75"/>
  <cols>
    <col min="1" max="1" width="44.5703125" style="7" customWidth="1"/>
    <col min="2" max="2" width="16" style="7" bestFit="1" customWidth="1"/>
    <col min="3" max="3" width="11.85546875" style="7" customWidth="1"/>
    <col min="4" max="4" width="14.7109375" style="8" customWidth="1"/>
    <col min="5" max="5" width="15.42578125" style="8" customWidth="1"/>
    <col min="6" max="6" width="13.28515625" style="8" customWidth="1"/>
    <col min="7" max="7" width="28.140625" style="8" customWidth="1"/>
    <col min="8" max="8" width="9.140625" style="7"/>
    <col min="9" max="9" width="14.5703125" style="7" customWidth="1"/>
    <col min="10" max="10" width="13.42578125" style="7" customWidth="1"/>
    <col min="11" max="16384" width="9.140625" style="7"/>
  </cols>
  <sheetData>
    <row r="1" spans="1:7" s="2" customFormat="1" ht="16.5" customHeight="1" thickBot="1">
      <c r="A1" s="133" t="s">
        <v>388</v>
      </c>
      <c r="B1" s="3"/>
      <c r="C1" s="3"/>
      <c r="D1" s="4"/>
      <c r="E1" s="4"/>
      <c r="F1" s="4"/>
      <c r="G1" s="4"/>
    </row>
    <row r="2" spans="1:7" s="6" customFormat="1" ht="18">
      <c r="A2" s="491" t="s">
        <v>489</v>
      </c>
      <c r="B2" s="492"/>
      <c r="C2" s="492"/>
      <c r="D2" s="492"/>
      <c r="E2" s="492"/>
      <c r="F2" s="493"/>
      <c r="G2" s="33"/>
    </row>
    <row r="3" spans="1:7" s="6" customFormat="1" ht="21.75" customHeight="1">
      <c r="A3" s="494" t="s">
        <v>42</v>
      </c>
      <c r="B3" s="495"/>
      <c r="C3" s="495"/>
      <c r="D3" s="495"/>
      <c r="E3" s="495"/>
      <c r="F3" s="496"/>
      <c r="G3" s="33"/>
    </row>
    <row r="4" spans="1:7" s="2" customFormat="1" ht="10.9" customHeight="1" thickBot="1">
      <c r="A4" s="134"/>
      <c r="B4" s="3"/>
      <c r="C4" s="3"/>
      <c r="D4" s="135"/>
      <c r="E4" s="135"/>
      <c r="F4" s="136"/>
      <c r="G4" s="4"/>
    </row>
    <row r="5" spans="1:7" s="2" customFormat="1" ht="15.75" customHeight="1" thickBot="1">
      <c r="A5" s="500" t="s">
        <v>172</v>
      </c>
      <c r="B5" s="501"/>
      <c r="C5" s="501"/>
      <c r="D5" s="501"/>
      <c r="E5" s="501"/>
      <c r="F5" s="502"/>
      <c r="G5" s="4"/>
    </row>
    <row r="6" spans="1:7" s="2" customFormat="1" ht="15.75" customHeight="1">
      <c r="A6" s="59" t="s">
        <v>171</v>
      </c>
      <c r="B6" s="37"/>
      <c r="C6" s="37"/>
      <c r="D6" s="220"/>
      <c r="E6" s="104" t="s">
        <v>37</v>
      </c>
      <c r="F6" s="38" t="s">
        <v>2</v>
      </c>
      <c r="G6" s="4"/>
    </row>
    <row r="7" spans="1:7" s="9" customFormat="1" ht="15.75" customHeight="1">
      <c r="A7" s="112" t="str">
        <f>A44</f>
        <v>1. Mão-de-obra</v>
      </c>
      <c r="B7" s="113"/>
      <c r="C7" s="114"/>
      <c r="D7" s="114"/>
      <c r="E7" s="217">
        <f>+F121</f>
        <v>21454.944658674885</v>
      </c>
      <c r="F7" s="115">
        <f t="shared" ref="F7:F13" si="0">IFERROR(E7/$E$28,0)</f>
        <v>0.32571948830846764</v>
      </c>
      <c r="G7" s="41"/>
    </row>
    <row r="8" spans="1:7" s="2" customFormat="1" ht="15.75" customHeight="1">
      <c r="A8" s="46" t="str">
        <f>A45</f>
        <v>1.1. Coletor Turno Dia</v>
      </c>
      <c r="B8" s="42"/>
      <c r="C8" s="44"/>
      <c r="D8" s="44"/>
      <c r="E8" s="218">
        <f>F56</f>
        <v>12823.479249473743</v>
      </c>
      <c r="F8" s="53">
        <f t="shared" si="0"/>
        <v>0.19468039493562667</v>
      </c>
      <c r="G8" s="4"/>
    </row>
    <row r="9" spans="1:7" s="2" customFormat="1" ht="15.75" customHeight="1">
      <c r="A9" s="46" t="str">
        <f>A58</f>
        <v>1.2. Motorista Turno do Dia</v>
      </c>
      <c r="B9" s="42"/>
      <c r="C9" s="44"/>
      <c r="D9" s="44"/>
      <c r="E9" s="218">
        <f>F71</f>
        <v>5572.271834201144</v>
      </c>
      <c r="F9" s="53">
        <f t="shared" si="0"/>
        <v>8.4595768454607714E-2</v>
      </c>
      <c r="G9" s="348"/>
    </row>
    <row r="10" spans="1:7" s="2" customFormat="1" ht="15.75" customHeight="1">
      <c r="A10" s="46" t="str">
        <f>A74</f>
        <v>1.3. Encarregado/Supervisor</v>
      </c>
      <c r="B10" s="42"/>
      <c r="C10" s="44"/>
      <c r="D10" s="44"/>
      <c r="E10" s="218">
        <f>F93</f>
        <v>528.43804772727276</v>
      </c>
      <c r="F10" s="53">
        <f t="shared" si="0"/>
        <v>8.0225129100418586E-3</v>
      </c>
      <c r="G10" s="4"/>
    </row>
    <row r="11" spans="1:7" s="2" customFormat="1" ht="15.75" customHeight="1">
      <c r="A11" s="46" t="str">
        <f>A95</f>
        <v>1.4. Vale Transporte</v>
      </c>
      <c r="B11" s="42"/>
      <c r="C11" s="44"/>
      <c r="D11" s="44"/>
      <c r="E11" s="218">
        <f>F101</f>
        <v>443.82619999999991</v>
      </c>
      <c r="F11" s="53">
        <f t="shared" si="0"/>
        <v>6.7379732300283726E-3</v>
      </c>
      <c r="G11" s="4"/>
    </row>
    <row r="12" spans="1:7" s="2" customFormat="1" ht="15.75" customHeight="1">
      <c r="A12" s="46" t="str">
        <f>A103</f>
        <v>1.5. Vale-refeição (diário)</v>
      </c>
      <c r="B12" s="42"/>
      <c r="C12" s="44"/>
      <c r="D12" s="44"/>
      <c r="E12" s="218">
        <f>F107</f>
        <v>1626.6258000000003</v>
      </c>
      <c r="F12" s="53">
        <f t="shared" si="0"/>
        <v>2.4694714047240766E-2</v>
      </c>
      <c r="G12" s="4"/>
    </row>
    <row r="13" spans="1:7" s="2" customFormat="1" ht="15.75" customHeight="1">
      <c r="A13" s="46" t="str">
        <f>A109</f>
        <v>1.6. Seguro de Vida e Vale Alimentação (mensal)</v>
      </c>
      <c r="B13" s="42"/>
      <c r="C13" s="44"/>
      <c r="D13" s="44"/>
      <c r="E13" s="218">
        <f>F113</f>
        <v>388.00352727272724</v>
      </c>
      <c r="F13" s="53">
        <f t="shared" si="0"/>
        <v>5.8904980821777092E-3</v>
      </c>
      <c r="G13" s="4"/>
    </row>
    <row r="14" spans="1:7" s="2" customFormat="1" ht="15.75" customHeight="1">
      <c r="A14" s="46" t="str">
        <f>A115</f>
        <v xml:space="preserve">1.6. Plano de Benefício Social  </v>
      </c>
      <c r="B14" s="42"/>
      <c r="C14" s="44"/>
      <c r="D14" s="44"/>
      <c r="E14" s="218">
        <f>F119</f>
        <v>72.300000000000011</v>
      </c>
      <c r="F14" s="53">
        <f t="shared" ref="F14" si="1">IFERROR(E14/$E$28,0)</f>
        <v>1.0976266487446021E-3</v>
      </c>
      <c r="G14" s="4"/>
    </row>
    <row r="15" spans="1:7" s="9" customFormat="1" ht="15.75" customHeight="1">
      <c r="A15" s="489" t="str">
        <f>A123</f>
        <v>2. Uniformes e Equipamentos de Proteção Individual</v>
      </c>
      <c r="B15" s="490"/>
      <c r="C15" s="490"/>
      <c r="D15" s="114"/>
      <c r="E15" s="217">
        <f>+F154</f>
        <v>494.87852954545446</v>
      </c>
      <c r="F15" s="115">
        <f t="shared" ref="F15:F27" si="2">IFERROR(E15/$E$28,0)</f>
        <v>7.5130271358317237E-3</v>
      </c>
      <c r="G15" s="41"/>
    </row>
    <row r="16" spans="1:7" s="9" customFormat="1" ht="15.75" customHeight="1">
      <c r="A16" s="123" t="str">
        <f>A156</f>
        <v>3. Veículos e Equipamentos</v>
      </c>
      <c r="B16" s="124"/>
      <c r="C16" s="114"/>
      <c r="D16" s="114"/>
      <c r="E16" s="217">
        <f>+F233</f>
        <v>27773.299480229205</v>
      </c>
      <c r="F16" s="115">
        <f t="shared" si="2"/>
        <v>0.42164195896354323</v>
      </c>
      <c r="G16" s="41"/>
    </row>
    <row r="17" spans="1:7" s="2" customFormat="1" ht="15.75" customHeight="1">
      <c r="A17" s="60" t="str">
        <f>A157</f>
        <v>3.1. Veículo Coletor com compactador</v>
      </c>
      <c r="B17" s="43"/>
      <c r="C17" s="44"/>
      <c r="D17" s="44"/>
      <c r="E17" s="218">
        <f>SUM(E18:E23)</f>
        <v>27773.299480229205</v>
      </c>
      <c r="F17" s="129">
        <f t="shared" si="2"/>
        <v>0.42164195896354323</v>
      </c>
      <c r="G17" s="4"/>
    </row>
    <row r="18" spans="1:7" s="2" customFormat="1" ht="15.75" customHeight="1">
      <c r="A18" s="60" t="str">
        <f>A158</f>
        <v>3.1.1. Depreciação</v>
      </c>
      <c r="B18" s="43"/>
      <c r="C18" s="44"/>
      <c r="D18" s="44"/>
      <c r="E18" s="218">
        <f>F173</f>
        <v>3704.4303430000004</v>
      </c>
      <c r="F18" s="129">
        <f t="shared" si="2"/>
        <v>5.6239024383055419E-2</v>
      </c>
      <c r="G18" s="4"/>
    </row>
    <row r="19" spans="1:7" s="2" customFormat="1" ht="15.75" customHeight="1">
      <c r="A19" s="60" t="str">
        <f>A175</f>
        <v>3.1.2. Remuneração do Capital</v>
      </c>
      <c r="B19" s="43"/>
      <c r="C19" s="44"/>
      <c r="D19" s="44"/>
      <c r="E19" s="218">
        <f>F190</f>
        <v>5622.9478839099993</v>
      </c>
      <c r="F19" s="129">
        <f t="shared" si="2"/>
        <v>8.5365109846219686E-2</v>
      </c>
      <c r="G19" s="4"/>
    </row>
    <row r="20" spans="1:7" s="2" customFormat="1" ht="15.75" customHeight="1">
      <c r="A20" s="60" t="str">
        <f>A192</f>
        <v>3.1.3. Impostos e Seguros</v>
      </c>
      <c r="B20" s="43"/>
      <c r="C20" s="44"/>
      <c r="D20" s="44"/>
      <c r="E20" s="218">
        <f>F198</f>
        <v>700.7788706590909</v>
      </c>
      <c r="F20" s="129">
        <f t="shared" si="2"/>
        <v>1.0638915121888862E-2</v>
      </c>
      <c r="G20" s="4"/>
    </row>
    <row r="21" spans="1:7" s="2" customFormat="1" ht="15.75" customHeight="1">
      <c r="A21" s="60" t="str">
        <f>A200</f>
        <v>3.1.4. Consumos</v>
      </c>
      <c r="B21" s="43"/>
      <c r="C21" s="44"/>
      <c r="D21" s="44"/>
      <c r="E21" s="218">
        <f>F216</f>
        <v>12451.396669374401</v>
      </c>
      <c r="F21" s="129">
        <f t="shared" si="2"/>
        <v>0.18903160163755356</v>
      </c>
      <c r="G21" s="4"/>
    </row>
    <row r="22" spans="1:7" s="2" customFormat="1" ht="15.75" customHeight="1">
      <c r="A22" s="60" t="str">
        <f>A218</f>
        <v>3.1.5. Manutenção</v>
      </c>
      <c r="B22" s="43"/>
      <c r="C22" s="44"/>
      <c r="D22" s="44"/>
      <c r="E22" s="218">
        <f>F221</f>
        <v>4126.4069149714278</v>
      </c>
      <c r="F22" s="129">
        <f t="shared" si="2"/>
        <v>6.264528621627441E-2</v>
      </c>
      <c r="G22" s="4"/>
    </row>
    <row r="23" spans="1:7" s="2" customFormat="1" ht="15.75" customHeight="1">
      <c r="A23" s="60" t="str">
        <f>A223</f>
        <v>3.1.6. Pneus</v>
      </c>
      <c r="B23" s="43"/>
      <c r="C23" s="44"/>
      <c r="D23" s="44"/>
      <c r="E23" s="218">
        <f>F230</f>
        <v>1167.3387983142857</v>
      </c>
      <c r="F23" s="129">
        <f t="shared" si="2"/>
        <v>1.7722021758551317E-2</v>
      </c>
      <c r="G23" s="4"/>
    </row>
    <row r="24" spans="1:7" s="9" customFormat="1" ht="15.75" customHeight="1">
      <c r="A24" s="123" t="str">
        <f>A235</f>
        <v xml:space="preserve">4. Ferramentas, Materiais de Consumo </v>
      </c>
      <c r="B24" s="124"/>
      <c r="C24" s="114"/>
      <c r="D24" s="114"/>
      <c r="E24" s="217">
        <f>+F242</f>
        <v>11.583333333333332</v>
      </c>
      <c r="F24" s="115">
        <f t="shared" si="2"/>
        <v>1.7585304768960309E-4</v>
      </c>
      <c r="G24" s="41"/>
    </row>
    <row r="25" spans="1:7" s="9" customFormat="1" ht="15.75" customHeight="1">
      <c r="A25" s="123" t="str">
        <f>A244</f>
        <v xml:space="preserve">5. Administração Local </v>
      </c>
      <c r="B25" s="124"/>
      <c r="C25" s="114"/>
      <c r="D25" s="114"/>
      <c r="E25" s="217">
        <f>F249</f>
        <v>1162.5</v>
      </c>
      <c r="F25" s="115">
        <f t="shared" si="2"/>
        <v>1.7648561260934989E-2</v>
      </c>
      <c r="G25" s="41"/>
    </row>
    <row r="26" spans="1:7" s="9" customFormat="1" ht="15.75" customHeight="1">
      <c r="A26" s="123" t="str">
        <f>A251</f>
        <v>6. Monitoramento da Frota</v>
      </c>
      <c r="B26" s="124"/>
      <c r="C26" s="114"/>
      <c r="D26" s="114"/>
      <c r="E26" s="217">
        <f>+F259</f>
        <v>120.83443181818181</v>
      </c>
      <c r="F26" s="115">
        <f t="shared" si="2"/>
        <v>1.8344549439771646E-3</v>
      </c>
      <c r="G26" s="41"/>
    </row>
    <row r="27" spans="1:7" s="9" customFormat="1" ht="15.75" customHeight="1" thickBot="1">
      <c r="A27" s="123" t="str">
        <f>A263</f>
        <v>7. Benefícios e Despesas Indiretas - BDI</v>
      </c>
      <c r="B27" s="124"/>
      <c r="C27" s="114"/>
      <c r="D27" s="114"/>
      <c r="E27" s="219">
        <f>+F268</f>
        <v>14851.351570221272</v>
      </c>
      <c r="F27" s="115">
        <f t="shared" si="2"/>
        <v>0.2254666563395554</v>
      </c>
      <c r="G27" s="41"/>
    </row>
    <row r="28" spans="1:7" s="2" customFormat="1" ht="15.75" customHeight="1" thickBot="1">
      <c r="A28" s="39" t="s">
        <v>203</v>
      </c>
      <c r="B28" s="40"/>
      <c r="C28" s="24"/>
      <c r="D28" s="24"/>
      <c r="E28" s="103">
        <f>E7+E15+E16+E24+E26+E27+E25</f>
        <v>65869.392003822344</v>
      </c>
      <c r="F28" s="128">
        <f>F7+F15+F16+F24+F26+F27+F25</f>
        <v>0.99999999999999978</v>
      </c>
      <c r="G28" s="4"/>
    </row>
    <row r="30" spans="1:7" ht="13.5" thickBot="1"/>
    <row r="31" spans="1:7" s="2" customFormat="1" ht="15" customHeight="1" thickBot="1">
      <c r="A31" s="500" t="s">
        <v>92</v>
      </c>
      <c r="B31" s="501"/>
      <c r="C31" s="501"/>
      <c r="D31" s="501"/>
      <c r="E31" s="502"/>
      <c r="F31" s="8"/>
      <c r="G31" s="4"/>
    </row>
    <row r="32" spans="1:7" s="2" customFormat="1" ht="15" customHeight="1" thickBot="1">
      <c r="A32" s="497" t="s">
        <v>38</v>
      </c>
      <c r="B32" s="498"/>
      <c r="C32" s="498"/>
      <c r="D32" s="499"/>
      <c r="E32" s="45" t="s">
        <v>39</v>
      </c>
      <c r="F32" s="8"/>
      <c r="G32" s="4"/>
    </row>
    <row r="33" spans="1:7" s="2" customFormat="1" ht="15" customHeight="1">
      <c r="A33" s="68" t="str">
        <f>+A45</f>
        <v>1.1. Coletor Turno Dia</v>
      </c>
      <c r="B33" s="69"/>
      <c r="C33" s="69"/>
      <c r="D33" s="70"/>
      <c r="E33" s="71">
        <f>C55</f>
        <v>3</v>
      </c>
      <c r="F33" s="8"/>
      <c r="G33" s="4"/>
    </row>
    <row r="34" spans="1:7" s="2" customFormat="1" ht="15" customHeight="1">
      <c r="A34" s="62" t="str">
        <f>+A58</f>
        <v>1.2. Motorista Turno do Dia</v>
      </c>
      <c r="B34" s="61"/>
      <c r="C34" s="61"/>
      <c r="D34" s="72"/>
      <c r="E34" s="65">
        <f>C70</f>
        <v>1</v>
      </c>
      <c r="F34" s="8"/>
      <c r="G34" s="4"/>
    </row>
    <row r="35" spans="1:7" s="2" customFormat="1" ht="15" customHeight="1">
      <c r="A35" s="62" t="str">
        <f>+A74</f>
        <v>1.3. Encarregado/Supervisor</v>
      </c>
      <c r="B35" s="61"/>
      <c r="C35" s="61"/>
      <c r="D35" s="72"/>
      <c r="E35" s="65">
        <f>C92</f>
        <v>1</v>
      </c>
      <c r="F35" s="8"/>
      <c r="G35" s="4"/>
    </row>
    <row r="36" spans="1:7" s="2" customFormat="1" ht="15" customHeight="1" thickBot="1">
      <c r="A36" s="66" t="s">
        <v>57</v>
      </c>
      <c r="B36" s="67"/>
      <c r="C36" s="67"/>
      <c r="D36" s="73"/>
      <c r="E36" s="74">
        <f>SUM(E33:E35)</f>
        <v>5</v>
      </c>
      <c r="F36" s="8"/>
      <c r="G36" s="4"/>
    </row>
    <row r="37" spans="1:7" s="2" customFormat="1" ht="15" customHeight="1" thickBot="1">
      <c r="A37" s="116"/>
      <c r="B37" s="117"/>
      <c r="C37" s="54"/>
      <c r="D37" s="54"/>
      <c r="E37" s="118"/>
      <c r="F37" s="8"/>
      <c r="G37" s="4"/>
    </row>
    <row r="38" spans="1:7" s="2" customFormat="1" ht="15" customHeight="1">
      <c r="A38" s="487" t="s">
        <v>55</v>
      </c>
      <c r="B38" s="488"/>
      <c r="C38" s="488"/>
      <c r="D38" s="488"/>
      <c r="E38" s="45" t="s">
        <v>39</v>
      </c>
      <c r="F38" s="7"/>
      <c r="G38" s="4"/>
    </row>
    <row r="39" spans="1:7" s="2" customFormat="1" ht="15" customHeight="1" thickBot="1">
      <c r="A39" s="119" t="str">
        <f>+A157</f>
        <v>3.1. Veículo Coletor com compactador</v>
      </c>
      <c r="B39" s="120"/>
      <c r="C39" s="120"/>
      <c r="D39" s="121"/>
      <c r="E39" s="122">
        <f>C172</f>
        <v>1</v>
      </c>
      <c r="F39" s="7"/>
      <c r="G39" s="4"/>
    </row>
    <row r="40" spans="1:7" s="2" customFormat="1" ht="15" customHeight="1">
      <c r="A40" s="54"/>
      <c r="B40" s="54"/>
      <c r="C40" s="54"/>
      <c r="D40" s="7"/>
      <c r="E40" s="210"/>
      <c r="F40" s="7"/>
      <c r="G40" s="4"/>
    </row>
    <row r="41" spans="1:7" s="2" customFormat="1" ht="13.5" thickBot="1">
      <c r="A41" s="54"/>
      <c r="B41" s="54"/>
      <c r="C41" s="54"/>
      <c r="D41" s="7"/>
      <c r="E41" s="63"/>
      <c r="F41" s="7"/>
      <c r="G41" s="4"/>
    </row>
    <row r="42" spans="1:7" s="9" customFormat="1" ht="15.75" customHeight="1" thickBot="1">
      <c r="A42" s="221" t="s">
        <v>167</v>
      </c>
      <c r="B42" s="257">
        <f>'6. Hor. '!G30</f>
        <v>0.90913636363636352</v>
      </c>
      <c r="C42" s="32"/>
      <c r="E42" s="137"/>
      <c r="G42" s="41"/>
    </row>
    <row r="43" spans="1:7" s="2" customFormat="1" ht="15.75" customHeight="1">
      <c r="A43" s="54"/>
      <c r="B43" s="54"/>
      <c r="C43" s="54"/>
      <c r="D43" s="7"/>
      <c r="E43" s="63"/>
      <c r="F43" s="7"/>
      <c r="G43" s="4"/>
    </row>
    <row r="44" spans="1:7" ht="13.15" customHeight="1">
      <c r="A44" s="9" t="s">
        <v>46</v>
      </c>
    </row>
    <row r="45" spans="1:7" ht="13.9" customHeight="1" thickBot="1">
      <c r="A45" s="7" t="s">
        <v>95</v>
      </c>
    </row>
    <row r="46" spans="1:7" ht="13.9" customHeight="1" thickBot="1">
      <c r="A46" s="55" t="s">
        <v>61</v>
      </c>
      <c r="B46" s="56" t="s">
        <v>62</v>
      </c>
      <c r="C46" s="56" t="s">
        <v>39</v>
      </c>
      <c r="D46" s="57" t="s">
        <v>199</v>
      </c>
      <c r="E46" s="57" t="s">
        <v>63</v>
      </c>
      <c r="F46" s="58" t="s">
        <v>64</v>
      </c>
    </row>
    <row r="47" spans="1:7" ht="13.15" customHeight="1">
      <c r="A47" s="11" t="s">
        <v>181</v>
      </c>
      <c r="B47" s="12" t="s">
        <v>8</v>
      </c>
      <c r="C47" s="12">
        <v>1</v>
      </c>
      <c r="D47" s="256">
        <v>1949.91</v>
      </c>
      <c r="E47" s="13">
        <f>C47*D47</f>
        <v>1949.91</v>
      </c>
    </row>
    <row r="48" spans="1:7" hidden="1">
      <c r="A48" s="14" t="s">
        <v>33</v>
      </c>
      <c r="B48" s="15" t="s">
        <v>0</v>
      </c>
      <c r="C48" s="81"/>
      <c r="D48" s="16">
        <f>D47/220*2</f>
        <v>17.726454545454548</v>
      </c>
      <c r="E48" s="16">
        <f>C48*D48</f>
        <v>0</v>
      </c>
    </row>
    <row r="49" spans="1:8" ht="13.15" hidden="1" customHeight="1">
      <c r="A49" s="14" t="s">
        <v>34</v>
      </c>
      <c r="B49" s="15" t="s">
        <v>0</v>
      </c>
      <c r="C49" s="81"/>
      <c r="D49" s="16">
        <f>D47/220*1.5</f>
        <v>13.294840909090912</v>
      </c>
      <c r="E49" s="16">
        <f>C49*D49</f>
        <v>0</v>
      </c>
    </row>
    <row r="50" spans="1:8" ht="13.15" hidden="1" customHeight="1">
      <c r="A50" s="14" t="s">
        <v>185</v>
      </c>
      <c r="B50" s="15" t="s">
        <v>32</v>
      </c>
      <c r="D50" s="16">
        <f>63/302*(SUM(E48:E49))</f>
        <v>0</v>
      </c>
      <c r="E50" s="16">
        <f>D50</f>
        <v>0</v>
      </c>
    </row>
    <row r="51" spans="1:8">
      <c r="A51" s="14" t="s">
        <v>1</v>
      </c>
      <c r="B51" s="15" t="s">
        <v>2</v>
      </c>
      <c r="C51" s="15">
        <v>40</v>
      </c>
      <c r="D51" s="76">
        <f>SUM(E47:E50)</f>
        <v>1949.91</v>
      </c>
      <c r="E51" s="16">
        <f>C51*D51/100</f>
        <v>779.96400000000006</v>
      </c>
    </row>
    <row r="52" spans="1:8">
      <c r="A52" s="105" t="s">
        <v>3</v>
      </c>
      <c r="B52" s="106"/>
      <c r="C52" s="106"/>
      <c r="D52" s="107"/>
      <c r="E52" s="108">
        <f>SUM(E47:E51)</f>
        <v>2729.8740000000003</v>
      </c>
    </row>
    <row r="53" spans="1:8">
      <c r="A53" s="14" t="s">
        <v>4</v>
      </c>
      <c r="B53" s="15" t="s">
        <v>2</v>
      </c>
      <c r="C53" s="126">
        <f>'3.Enc Sociais'!$C$37*100</f>
        <v>72.231660000000005</v>
      </c>
      <c r="D53" s="16">
        <f>E52</f>
        <v>2729.8740000000003</v>
      </c>
      <c r="E53" s="16">
        <f>D53*C53/100</f>
        <v>1971.8333061084004</v>
      </c>
    </row>
    <row r="54" spans="1:8">
      <c r="A54" s="105" t="s">
        <v>71</v>
      </c>
      <c r="B54" s="106"/>
      <c r="C54" s="106"/>
      <c r="D54" s="107"/>
      <c r="E54" s="108">
        <f>E52+E53</f>
        <v>4701.7073061084011</v>
      </c>
    </row>
    <row r="55" spans="1:8" ht="13.5" thickBot="1">
      <c r="A55" s="14" t="s">
        <v>5</v>
      </c>
      <c r="B55" s="15" t="s">
        <v>6</v>
      </c>
      <c r="C55" s="79">
        <v>3</v>
      </c>
      <c r="D55" s="16">
        <f>E54</f>
        <v>4701.7073061084011</v>
      </c>
      <c r="E55" s="16">
        <f>C55*D55</f>
        <v>14105.121918325203</v>
      </c>
      <c r="G55" s="4"/>
      <c r="H55" s="274"/>
    </row>
    <row r="56" spans="1:8" ht="13.9" customHeight="1" thickBot="1">
      <c r="A56" s="5"/>
      <c r="D56" s="110" t="s">
        <v>166</v>
      </c>
      <c r="E56" s="258">
        <f>$B$42</f>
        <v>0.90913636363636352</v>
      </c>
      <c r="F56" s="111">
        <f>E55*E56</f>
        <v>12823.479249473743</v>
      </c>
      <c r="G56" s="4"/>
      <c r="H56" s="274"/>
    </row>
    <row r="57" spans="1:8" ht="11.25" customHeight="1">
      <c r="A57" s="5"/>
    </row>
    <row r="58" spans="1:8" ht="13.5" thickBot="1">
      <c r="A58" s="5" t="s">
        <v>348</v>
      </c>
    </row>
    <row r="59" spans="1:8" s="10" customFormat="1" ht="13.15" customHeight="1" thickBot="1">
      <c r="A59" s="55" t="s">
        <v>61</v>
      </c>
      <c r="B59" s="56" t="s">
        <v>62</v>
      </c>
      <c r="C59" s="56" t="s">
        <v>39</v>
      </c>
      <c r="D59" s="57" t="s">
        <v>199</v>
      </c>
      <c r="E59" s="57" t="s">
        <v>63</v>
      </c>
      <c r="F59" s="58" t="s">
        <v>64</v>
      </c>
      <c r="G59" s="8"/>
    </row>
    <row r="60" spans="1:8">
      <c r="A60" s="254" t="s">
        <v>245</v>
      </c>
      <c r="B60" s="12" t="s">
        <v>8</v>
      </c>
      <c r="C60" s="12">
        <v>1</v>
      </c>
      <c r="D60" s="256">
        <v>2086.5</v>
      </c>
      <c r="E60" s="13">
        <f>C60*D60</f>
        <v>2086.5</v>
      </c>
    </row>
    <row r="61" spans="1:8">
      <c r="A61" s="254" t="s">
        <v>246</v>
      </c>
      <c r="B61" s="12" t="s">
        <v>8</v>
      </c>
      <c r="C61" s="12">
        <v>1</v>
      </c>
      <c r="D61" s="80">
        <v>1518</v>
      </c>
      <c r="E61" s="13"/>
    </row>
    <row r="62" spans="1:8" hidden="1">
      <c r="A62" s="14" t="s">
        <v>33</v>
      </c>
      <c r="B62" s="15" t="s">
        <v>0</v>
      </c>
      <c r="C62" s="81"/>
      <c r="D62" s="16">
        <f>D60/220*2</f>
        <v>18.968181818181819</v>
      </c>
      <c r="E62" s="16">
        <f>C62*D62</f>
        <v>0</v>
      </c>
    </row>
    <row r="63" spans="1:8">
      <c r="A63" s="14" t="s">
        <v>34</v>
      </c>
      <c r="B63" s="15" t="s">
        <v>0</v>
      </c>
      <c r="C63" s="81">
        <v>31.5</v>
      </c>
      <c r="D63" s="16">
        <f>D60/220*1.5</f>
        <v>14.226136363636364</v>
      </c>
      <c r="E63" s="16">
        <f>C63*D63</f>
        <v>448.12329545454548</v>
      </c>
    </row>
    <row r="64" spans="1:8" ht="13.15" customHeight="1">
      <c r="A64" s="14" t="s">
        <v>185</v>
      </c>
      <c r="B64" s="15" t="s">
        <v>32</v>
      </c>
      <c r="D64" s="16">
        <f>63/302*(SUM(E62:E63))</f>
        <v>93.482674217338968</v>
      </c>
      <c r="E64" s="16">
        <f>D64</f>
        <v>93.482674217338968</v>
      </c>
    </row>
    <row r="65" spans="1:8">
      <c r="A65" s="14" t="s">
        <v>182</v>
      </c>
      <c r="B65" s="15"/>
      <c r="C65" s="83">
        <v>1</v>
      </c>
      <c r="D65" s="16"/>
      <c r="E65" s="16"/>
    </row>
    <row r="66" spans="1:8">
      <c r="A66" s="14" t="s">
        <v>1</v>
      </c>
      <c r="B66" s="15" t="s">
        <v>2</v>
      </c>
      <c r="C66" s="79">
        <v>40</v>
      </c>
      <c r="D66" s="76">
        <f>D61</f>
        <v>1518</v>
      </c>
      <c r="E66" s="16">
        <f>C66*D66/100</f>
        <v>607.20000000000005</v>
      </c>
    </row>
    <row r="67" spans="1:8" s="9" customFormat="1">
      <c r="A67" s="92" t="s">
        <v>3</v>
      </c>
      <c r="B67" s="106"/>
      <c r="C67" s="106"/>
      <c r="D67" s="107"/>
      <c r="E67" s="94">
        <f>SUM(E60:E66)</f>
        <v>3235.3059696718847</v>
      </c>
      <c r="F67" s="41"/>
      <c r="G67" s="41"/>
    </row>
    <row r="68" spans="1:8">
      <c r="A68" s="14" t="s">
        <v>4</v>
      </c>
      <c r="B68" s="15" t="s">
        <v>2</v>
      </c>
      <c r="C68" s="126">
        <f>'3.Enc Sociais'!$C$37*100</f>
        <v>72.231660000000005</v>
      </c>
      <c r="D68" s="16">
        <f>E67</f>
        <v>3235.3059696718847</v>
      </c>
      <c r="E68" s="16">
        <f>D68*C68/100</f>
        <v>2336.9152079730989</v>
      </c>
    </row>
    <row r="69" spans="1:8" s="9" customFormat="1">
      <c r="A69" s="92" t="s">
        <v>212</v>
      </c>
      <c r="B69" s="227"/>
      <c r="C69" s="227"/>
      <c r="D69" s="228"/>
      <c r="E69" s="94">
        <f>E67+E68</f>
        <v>5572.221177644984</v>
      </c>
      <c r="F69" s="41"/>
      <c r="G69" s="41"/>
    </row>
    <row r="70" spans="1:8" ht="13.5" thickBot="1">
      <c r="A70" s="14" t="s">
        <v>5</v>
      </c>
      <c r="B70" s="15" t="s">
        <v>6</v>
      </c>
      <c r="C70" s="79">
        <v>1</v>
      </c>
      <c r="D70" s="16">
        <f>E69</f>
        <v>5572.221177644984</v>
      </c>
      <c r="E70" s="16">
        <f>C70*D70</f>
        <v>5572.221177644984</v>
      </c>
    </row>
    <row r="71" spans="1:8" ht="13.5" thickBot="1">
      <c r="A71" s="5"/>
      <c r="D71" s="110" t="s">
        <v>166</v>
      </c>
      <c r="E71" s="258">
        <f>'6. Hor. '!G42</f>
        <v>1.0000090909090908</v>
      </c>
      <c r="F71" s="111">
        <f>E70*E71</f>
        <v>5572.271834201144</v>
      </c>
      <c r="H71" s="274"/>
    </row>
    <row r="72" spans="1:8" ht="11.25" customHeight="1">
      <c r="A72" s="5"/>
    </row>
    <row r="73" spans="1:8" ht="11.25" customHeight="1">
      <c r="A73" s="5"/>
    </row>
    <row r="74" spans="1:8" ht="13.5" thickBot="1">
      <c r="A74" s="5" t="s">
        <v>349</v>
      </c>
    </row>
    <row r="75" spans="1:8" ht="13.5" thickBot="1">
      <c r="A75" s="55" t="s">
        <v>61</v>
      </c>
      <c r="B75" s="56" t="s">
        <v>62</v>
      </c>
      <c r="C75" s="56" t="s">
        <v>39</v>
      </c>
      <c r="D75" s="57" t="s">
        <v>199</v>
      </c>
      <c r="E75" s="57" t="s">
        <v>63</v>
      </c>
      <c r="F75" s="58" t="s">
        <v>64</v>
      </c>
    </row>
    <row r="76" spans="1:8">
      <c r="A76" s="254" t="s">
        <v>367</v>
      </c>
      <c r="B76" s="12" t="s">
        <v>8</v>
      </c>
      <c r="C76" s="12">
        <v>1</v>
      </c>
      <c r="D76" s="80">
        <v>2700</v>
      </c>
      <c r="E76" s="13">
        <f>C76*D76</f>
        <v>2700</v>
      </c>
    </row>
    <row r="77" spans="1:8" hidden="1">
      <c r="A77" s="254" t="s">
        <v>246</v>
      </c>
      <c r="B77" s="12" t="s">
        <v>8</v>
      </c>
      <c r="C77" s="12">
        <v>1</v>
      </c>
      <c r="D77" s="16">
        <f>D61</f>
        <v>1518</v>
      </c>
      <c r="E77" s="16"/>
    </row>
    <row r="78" spans="1:8" hidden="1">
      <c r="A78" s="14" t="s">
        <v>7</v>
      </c>
      <c r="B78" s="15" t="s">
        <v>93</v>
      </c>
      <c r="C78" s="81"/>
      <c r="D78" s="14"/>
      <c r="E78" s="14"/>
    </row>
    <row r="79" spans="1:8" hidden="1">
      <c r="A79" s="14"/>
      <c r="B79" s="15" t="s">
        <v>96</v>
      </c>
      <c r="C79" s="16">
        <f>C78*8/7</f>
        <v>0</v>
      </c>
      <c r="D79" s="16">
        <f>D76/220*0.2</f>
        <v>2.454545454545455</v>
      </c>
      <c r="E79" s="16">
        <f>C78*D79</f>
        <v>0</v>
      </c>
    </row>
    <row r="80" spans="1:8" hidden="1">
      <c r="A80" s="14" t="s">
        <v>33</v>
      </c>
      <c r="B80" s="15" t="s">
        <v>0</v>
      </c>
      <c r="C80" s="81"/>
      <c r="D80" s="16">
        <f>D76/220*2</f>
        <v>24.545454545454547</v>
      </c>
      <c r="E80" s="16">
        <f>C80*D80</f>
        <v>0</v>
      </c>
      <c r="G80" s="8" t="s">
        <v>208</v>
      </c>
    </row>
    <row r="81" spans="1:7" hidden="1">
      <c r="A81" s="14" t="s">
        <v>94</v>
      </c>
      <c r="B81" s="15" t="s">
        <v>93</v>
      </c>
      <c r="C81" s="81"/>
      <c r="D81" s="16"/>
      <c r="E81" s="16"/>
      <c r="G81" s="8" t="s">
        <v>209</v>
      </c>
    </row>
    <row r="82" spans="1:7" hidden="1">
      <c r="A82" s="14"/>
      <c r="B82" s="15" t="s">
        <v>96</v>
      </c>
      <c r="C82" s="16">
        <f>C81*8/7</f>
        <v>0</v>
      </c>
      <c r="D82" s="16">
        <f>D76/220*2*1.2</f>
        <v>29.454545454545453</v>
      </c>
      <c r="E82" s="16">
        <f>C82*D82</f>
        <v>0</v>
      </c>
      <c r="G82" s="8" t="s">
        <v>209</v>
      </c>
    </row>
    <row r="83" spans="1:7" hidden="1">
      <c r="A83" s="14" t="s">
        <v>34</v>
      </c>
      <c r="B83" s="15" t="s">
        <v>0</v>
      </c>
      <c r="C83" s="81"/>
      <c r="D83" s="16">
        <f>D76/220*1.5</f>
        <v>18.40909090909091</v>
      </c>
      <c r="E83" s="16">
        <f>C83*D83</f>
        <v>0</v>
      </c>
      <c r="G83" s="8" t="s">
        <v>210</v>
      </c>
    </row>
    <row r="84" spans="1:7" hidden="1">
      <c r="A84" s="14" t="s">
        <v>183</v>
      </c>
      <c r="B84" s="15" t="s">
        <v>93</v>
      </c>
      <c r="C84" s="81"/>
      <c r="D84" s="16"/>
      <c r="E84" s="16"/>
      <c r="G84" s="8" t="s">
        <v>211</v>
      </c>
    </row>
    <row r="85" spans="1:7" hidden="1">
      <c r="A85" s="14"/>
      <c r="B85" s="15" t="s">
        <v>96</v>
      </c>
      <c r="C85" s="16">
        <f>C84*8/7</f>
        <v>0</v>
      </c>
      <c r="D85" s="16">
        <f>D76/220*1.5*1.2</f>
        <v>22.09090909090909</v>
      </c>
      <c r="E85" s="16">
        <f>C85*D85</f>
        <v>0</v>
      </c>
      <c r="G85" s="8" t="s">
        <v>211</v>
      </c>
    </row>
    <row r="86" spans="1:7" ht="13.15" hidden="1" customHeight="1">
      <c r="A86" s="14" t="s">
        <v>185</v>
      </c>
      <c r="B86" s="15" t="s">
        <v>32</v>
      </c>
      <c r="D86" s="16">
        <f>63/302*(SUM(E80:E85))</f>
        <v>0</v>
      </c>
      <c r="E86" s="16">
        <f>D86</f>
        <v>0</v>
      </c>
      <c r="G86" s="8" t="s">
        <v>184</v>
      </c>
    </row>
    <row r="87" spans="1:7" hidden="1">
      <c r="A87" s="14" t="s">
        <v>182</v>
      </c>
      <c r="B87" s="15"/>
      <c r="C87" s="83"/>
      <c r="D87" s="16"/>
      <c r="E87" s="16"/>
    </row>
    <row r="88" spans="1:7" hidden="1">
      <c r="A88" s="14" t="s">
        <v>1</v>
      </c>
      <c r="B88" s="15" t="s">
        <v>2</v>
      </c>
      <c r="C88" s="76">
        <f>+C66</f>
        <v>40</v>
      </c>
      <c r="D88" s="76">
        <f>IF(C87=2,SUM(E76:E86),IF(C87=1,SUM(E76:E86)*D77/D76,0))</f>
        <v>0</v>
      </c>
      <c r="E88" s="16">
        <f>C88*D88/100</f>
        <v>0</v>
      </c>
    </row>
    <row r="89" spans="1:7" s="9" customFormat="1">
      <c r="A89" s="105" t="s">
        <v>3</v>
      </c>
      <c r="B89" s="106"/>
      <c r="C89" s="106"/>
      <c r="D89" s="107"/>
      <c r="E89" s="108">
        <f>SUM(E76:E88)</f>
        <v>2700</v>
      </c>
      <c r="F89" s="41"/>
      <c r="G89" s="41"/>
    </row>
    <row r="90" spans="1:7">
      <c r="A90" s="14" t="s">
        <v>4</v>
      </c>
      <c r="B90" s="15" t="s">
        <v>2</v>
      </c>
      <c r="C90" s="126">
        <f>'3.Enc Sociais'!$C$37*100</f>
        <v>72.231660000000005</v>
      </c>
      <c r="D90" s="16">
        <f>E89</f>
        <v>2700</v>
      </c>
      <c r="E90" s="16">
        <f>D90*C90/100</f>
        <v>1950.2548200000001</v>
      </c>
    </row>
    <row r="91" spans="1:7" s="9" customFormat="1">
      <c r="A91" s="105" t="s">
        <v>340</v>
      </c>
      <c r="B91" s="106"/>
      <c r="C91" s="106"/>
      <c r="D91" s="107"/>
      <c r="E91" s="108">
        <f>E89+E90</f>
        <v>4650.2548200000001</v>
      </c>
      <c r="F91" s="41"/>
      <c r="G91" s="41"/>
    </row>
    <row r="92" spans="1:7" ht="13.5" thickBot="1">
      <c r="A92" s="14" t="s">
        <v>5</v>
      </c>
      <c r="B92" s="15" t="s">
        <v>6</v>
      </c>
      <c r="C92" s="79">
        <v>1</v>
      </c>
      <c r="D92" s="16">
        <f>E91</f>
        <v>4650.2548200000001</v>
      </c>
      <c r="E92" s="16">
        <f>C92*D92</f>
        <v>4650.2548200000001</v>
      </c>
    </row>
    <row r="93" spans="1:7" ht="13.5" thickBot="1">
      <c r="A93" s="9" t="s">
        <v>442</v>
      </c>
      <c r="D93" s="110" t="s">
        <v>166</v>
      </c>
      <c r="E93" s="258">
        <f>5/44</f>
        <v>0.11363636363636363</v>
      </c>
      <c r="F93" s="111">
        <f>E92*E93</f>
        <v>528.43804772727276</v>
      </c>
    </row>
    <row r="94" spans="1:7" ht="11.25" customHeight="1">
      <c r="G94" s="7"/>
    </row>
    <row r="95" spans="1:7" ht="13.5" thickBot="1">
      <c r="A95" s="5" t="s">
        <v>350</v>
      </c>
      <c r="B95" s="86"/>
      <c r="D95" s="7"/>
      <c r="E95" s="274"/>
      <c r="G95" s="7"/>
    </row>
    <row r="96" spans="1:7" ht="13.5" thickBot="1">
      <c r="A96" s="55" t="s">
        <v>61</v>
      </c>
      <c r="B96" s="56" t="s">
        <v>62</v>
      </c>
      <c r="C96" s="56" t="s">
        <v>39</v>
      </c>
      <c r="D96" s="57" t="s">
        <v>199</v>
      </c>
      <c r="E96" s="57" t="s">
        <v>63</v>
      </c>
      <c r="F96" s="58" t="s">
        <v>64</v>
      </c>
      <c r="G96" s="7"/>
    </row>
    <row r="97" spans="1:8">
      <c r="A97" s="14" t="s">
        <v>86</v>
      </c>
      <c r="B97" s="15" t="s">
        <v>32</v>
      </c>
      <c r="C97" s="87">
        <v>1</v>
      </c>
      <c r="D97" s="85">
        <v>4.5999999999999996</v>
      </c>
      <c r="E97" s="16"/>
      <c r="G97" s="7"/>
    </row>
    <row r="98" spans="1:8">
      <c r="A98" s="14" t="s">
        <v>87</v>
      </c>
      <c r="B98" s="15" t="s">
        <v>88</v>
      </c>
      <c r="C98" s="84">
        <v>25</v>
      </c>
      <c r="D98" s="16"/>
      <c r="E98" s="16"/>
      <c r="G98" s="78"/>
      <c r="H98" s="78"/>
    </row>
    <row r="99" spans="1:8">
      <c r="A99" s="14" t="s">
        <v>72</v>
      </c>
      <c r="B99" s="15" t="s">
        <v>9</v>
      </c>
      <c r="C99" s="34">
        <f>$C$98*2*(C55)</f>
        <v>150</v>
      </c>
      <c r="D99" s="13">
        <f>D97-(E47/50*0.06)</f>
        <v>2.2601079999999993</v>
      </c>
      <c r="E99" s="16">
        <f>IFERROR(C99*D99,"-")</f>
        <v>339.01619999999991</v>
      </c>
      <c r="H99" s="78"/>
    </row>
    <row r="100" spans="1:8" ht="13.5" thickBot="1">
      <c r="A100" s="11" t="s">
        <v>43</v>
      </c>
      <c r="B100" s="12" t="s">
        <v>9</v>
      </c>
      <c r="C100" s="34">
        <f>$C$98*2*(C70)</f>
        <v>50</v>
      </c>
      <c r="D100" s="13">
        <f>D97-(E60/50*0.06)</f>
        <v>2.0962000000000001</v>
      </c>
      <c r="E100" s="13">
        <f>IFERROR(C100*D100,"-")</f>
        <v>104.81</v>
      </c>
      <c r="G100" s="7"/>
      <c r="H100" s="78"/>
    </row>
    <row r="101" spans="1:8" ht="13.5" thickBot="1">
      <c r="F101" s="20">
        <f>SUM(E99:E100)</f>
        <v>443.82619999999991</v>
      </c>
      <c r="G101" s="7"/>
    </row>
    <row r="102" spans="1:8" ht="11.25" customHeight="1">
      <c r="G102" s="7"/>
    </row>
    <row r="103" spans="1:8" ht="13.5" thickBot="1">
      <c r="A103" s="5" t="s">
        <v>351</v>
      </c>
      <c r="F103" s="21"/>
      <c r="G103" s="7"/>
    </row>
    <row r="104" spans="1:8" ht="13.5" thickBot="1">
      <c r="A104" s="55" t="s">
        <v>61</v>
      </c>
      <c r="B104" s="56" t="s">
        <v>62</v>
      </c>
      <c r="C104" s="56" t="s">
        <v>39</v>
      </c>
      <c r="D104" s="57" t="s">
        <v>199</v>
      </c>
      <c r="E104" s="57" t="s">
        <v>63</v>
      </c>
      <c r="F104" s="58" t="s">
        <v>64</v>
      </c>
      <c r="G104" s="7"/>
    </row>
    <row r="105" spans="1:8">
      <c r="A105" s="14" t="str">
        <f>+A99</f>
        <v>Coletor</v>
      </c>
      <c r="B105" s="15" t="s">
        <v>10</v>
      </c>
      <c r="C105" s="91">
        <f>C98*(E33)</f>
        <v>75</v>
      </c>
      <c r="D105" s="82">
        <f>25.42*0.81</f>
        <v>20.590200000000003</v>
      </c>
      <c r="E105" s="47">
        <f>C105*D105</f>
        <v>1544.2650000000003</v>
      </c>
      <c r="F105" s="21"/>
      <c r="G105" s="7"/>
    </row>
    <row r="106" spans="1:8" ht="13.5" thickBot="1">
      <c r="A106" s="270" t="s">
        <v>314</v>
      </c>
      <c r="B106" s="15" t="s">
        <v>10</v>
      </c>
      <c r="C106" s="91">
        <v>4</v>
      </c>
      <c r="D106" s="82">
        <f>25.42*0.81</f>
        <v>20.590200000000003</v>
      </c>
      <c r="E106" s="47">
        <f>C106*D106</f>
        <v>82.360800000000012</v>
      </c>
      <c r="F106" s="21"/>
      <c r="G106" s="7"/>
    </row>
    <row r="107" spans="1:8" ht="13.5" thickBot="1">
      <c r="F107" s="20">
        <f>SUM(E105:E106)</f>
        <v>1626.6258000000003</v>
      </c>
      <c r="G107" s="7"/>
    </row>
    <row r="108" spans="1:8">
      <c r="G108" s="7"/>
    </row>
    <row r="109" spans="1:8" ht="13.5" thickBot="1">
      <c r="A109" s="5" t="s">
        <v>471</v>
      </c>
      <c r="F109" s="21"/>
      <c r="G109" s="7"/>
    </row>
    <row r="110" spans="1:8" ht="13.5" thickBot="1">
      <c r="A110" s="55" t="s">
        <v>61</v>
      </c>
      <c r="B110" s="56" t="s">
        <v>62</v>
      </c>
      <c r="C110" s="56" t="s">
        <v>39</v>
      </c>
      <c r="D110" s="57" t="s">
        <v>199</v>
      </c>
      <c r="E110" s="57" t="s">
        <v>63</v>
      </c>
      <c r="F110" s="58" t="s">
        <v>64</v>
      </c>
      <c r="G110" s="7"/>
    </row>
    <row r="111" spans="1:8">
      <c r="A111" s="270" t="s">
        <v>472</v>
      </c>
      <c r="B111" s="292" t="s">
        <v>8</v>
      </c>
      <c r="C111" s="91">
        <v>1</v>
      </c>
      <c r="D111" s="82">
        <v>30</v>
      </c>
      <c r="E111" s="47">
        <f>C111*D111</f>
        <v>30</v>
      </c>
      <c r="F111" s="21"/>
      <c r="G111" s="7"/>
    </row>
    <row r="112" spans="1:8" ht="13.5" thickBot="1">
      <c r="A112" s="270" t="s">
        <v>473</v>
      </c>
      <c r="B112" s="292" t="s">
        <v>8</v>
      </c>
      <c r="C112" s="91">
        <f>E34</f>
        <v>1</v>
      </c>
      <c r="D112" s="82">
        <v>358</v>
      </c>
      <c r="E112" s="47">
        <f>C112*D112</f>
        <v>358</v>
      </c>
      <c r="F112" s="21"/>
      <c r="G112" s="7"/>
    </row>
    <row r="113" spans="1:7" ht="13.5" thickBot="1">
      <c r="D113" s="110" t="s">
        <v>166</v>
      </c>
      <c r="E113" s="258">
        <f>E71</f>
        <v>1.0000090909090908</v>
      </c>
      <c r="F113" s="20">
        <f>SUM(E111:E112)*E113</f>
        <v>388.00352727272724</v>
      </c>
      <c r="G113" s="7"/>
    </row>
    <row r="114" spans="1:7">
      <c r="D114" s="110"/>
      <c r="E114" s="293"/>
      <c r="G114" s="7"/>
    </row>
    <row r="115" spans="1:7" ht="13.5" thickBot="1">
      <c r="A115" s="5" t="s">
        <v>443</v>
      </c>
      <c r="B115" s="5"/>
      <c r="C115" s="5"/>
      <c r="D115" s="277"/>
      <c r="E115" s="277"/>
      <c r="F115" s="21"/>
      <c r="G115" s="7"/>
    </row>
    <row r="116" spans="1:7" ht="13.5" thickBot="1">
      <c r="A116" s="55" t="s">
        <v>61</v>
      </c>
      <c r="B116" s="56" t="s">
        <v>62</v>
      </c>
      <c r="C116" s="56" t="s">
        <v>39</v>
      </c>
      <c r="D116" s="57" t="s">
        <v>199</v>
      </c>
      <c r="E116" s="57" t="s">
        <v>63</v>
      </c>
      <c r="F116" s="58" t="s">
        <v>64</v>
      </c>
      <c r="G116" s="7"/>
    </row>
    <row r="117" spans="1:7" ht="13.5" thickBot="1">
      <c r="A117" s="270" t="s">
        <v>319</v>
      </c>
      <c r="B117" s="292" t="s">
        <v>10</v>
      </c>
      <c r="C117" s="294">
        <f>C55</f>
        <v>3</v>
      </c>
      <c r="D117" s="295">
        <v>24.1</v>
      </c>
      <c r="E117" s="296">
        <f>C117*D117</f>
        <v>72.300000000000011</v>
      </c>
      <c r="F117" s="21"/>
      <c r="G117" s="7"/>
    </row>
    <row r="118" spans="1:7" ht="13.5" hidden="1" thickBot="1">
      <c r="A118" s="270"/>
      <c r="B118" s="292" t="s">
        <v>10</v>
      </c>
      <c r="C118" s="294">
        <v>0</v>
      </c>
      <c r="D118" s="295">
        <v>0</v>
      </c>
      <c r="E118" s="296"/>
      <c r="F118" s="21"/>
      <c r="G118" s="7"/>
    </row>
    <row r="119" spans="1:7" ht="13.5" thickBot="1">
      <c r="A119" s="297"/>
      <c r="B119" s="297"/>
      <c r="C119" s="5"/>
      <c r="D119" s="279" t="s">
        <v>318</v>
      </c>
      <c r="E119" s="301">
        <v>1</v>
      </c>
      <c r="F119" s="298">
        <f>SUM(E117:E118)*E119</f>
        <v>72.300000000000011</v>
      </c>
      <c r="G119" s="7"/>
    </row>
    <row r="120" spans="1:7" ht="13.5" thickBot="1">
      <c r="D120" s="110"/>
      <c r="E120" s="293"/>
      <c r="G120" s="7"/>
    </row>
    <row r="121" spans="1:7" ht="13.5" thickBot="1">
      <c r="A121" s="22" t="s">
        <v>89</v>
      </c>
      <c r="B121" s="23"/>
      <c r="C121" s="23"/>
      <c r="D121" s="24"/>
      <c r="E121" s="25"/>
      <c r="F121" s="20">
        <f>F113+F107+F101+F93+F71+F56+F119</f>
        <v>21454.944658674885</v>
      </c>
      <c r="G121" s="7"/>
    </row>
    <row r="123" spans="1:7">
      <c r="A123" s="9" t="s">
        <v>44</v>
      </c>
      <c r="G123" s="7"/>
    </row>
    <row r="124" spans="1:7" ht="13.9" customHeight="1" thickBot="1">
      <c r="A124" s="7" t="s">
        <v>168</v>
      </c>
      <c r="G124" s="7"/>
    </row>
    <row r="125" spans="1:7" ht="27.75" customHeight="1" thickBot="1">
      <c r="A125" s="55" t="s">
        <v>61</v>
      </c>
      <c r="B125" s="56" t="s">
        <v>62</v>
      </c>
      <c r="C125" s="229" t="s">
        <v>213</v>
      </c>
      <c r="D125" s="57" t="s">
        <v>199</v>
      </c>
      <c r="E125" s="57" t="s">
        <v>63</v>
      </c>
      <c r="F125" s="58" t="s">
        <v>64</v>
      </c>
      <c r="G125" s="7"/>
    </row>
    <row r="126" spans="1:7">
      <c r="A126" s="254" t="s">
        <v>65</v>
      </c>
      <c r="B126" s="384" t="s">
        <v>10</v>
      </c>
      <c r="C126" s="474">
        <v>12</v>
      </c>
      <c r="D126" s="256">
        <v>170</v>
      </c>
      <c r="E126" s="312">
        <f t="shared" ref="E126:E138" si="3">IFERROR(D126/C126,0)</f>
        <v>14.166666666666666</v>
      </c>
      <c r="G126" s="7"/>
    </row>
    <row r="127" spans="1:7" ht="13.15" customHeight="1">
      <c r="A127" s="270" t="s">
        <v>28</v>
      </c>
      <c r="B127" s="292" t="s">
        <v>10</v>
      </c>
      <c r="C127" s="269">
        <v>6</v>
      </c>
      <c r="D127" s="256">
        <v>75</v>
      </c>
      <c r="E127" s="312">
        <f t="shared" si="3"/>
        <v>12.5</v>
      </c>
      <c r="G127" s="7"/>
    </row>
    <row r="128" spans="1:7">
      <c r="A128" s="270" t="s">
        <v>362</v>
      </c>
      <c r="B128" s="292" t="s">
        <v>10</v>
      </c>
      <c r="C128" s="269">
        <v>4</v>
      </c>
      <c r="D128" s="268">
        <v>45</v>
      </c>
      <c r="E128" s="312">
        <f t="shared" si="3"/>
        <v>11.25</v>
      </c>
      <c r="G128" s="7"/>
    </row>
    <row r="129" spans="1:7" ht="13.15" customHeight="1">
      <c r="A129" s="270" t="s">
        <v>464</v>
      </c>
      <c r="B129" s="292" t="s">
        <v>10</v>
      </c>
      <c r="C129" s="269">
        <v>4</v>
      </c>
      <c r="D129" s="268">
        <v>43</v>
      </c>
      <c r="E129" s="312">
        <f t="shared" si="3"/>
        <v>10.75</v>
      </c>
      <c r="G129" s="7"/>
    </row>
    <row r="130" spans="1:7" ht="13.9" customHeight="1">
      <c r="A130" s="270" t="s">
        <v>478</v>
      </c>
      <c r="B130" s="292" t="s">
        <v>10</v>
      </c>
      <c r="C130" s="269">
        <v>6</v>
      </c>
      <c r="D130" s="256">
        <v>48</v>
      </c>
      <c r="E130" s="312">
        <f t="shared" si="3"/>
        <v>8</v>
      </c>
      <c r="G130" s="7"/>
    </row>
    <row r="131" spans="1:7" ht="13.15" customHeight="1">
      <c r="A131" s="270" t="s">
        <v>479</v>
      </c>
      <c r="B131" s="292" t="s">
        <v>10</v>
      </c>
      <c r="C131" s="269">
        <v>6</v>
      </c>
      <c r="D131" s="256">
        <v>50</v>
      </c>
      <c r="E131" s="312">
        <f t="shared" si="3"/>
        <v>8.3333333333333339</v>
      </c>
    </row>
    <row r="132" spans="1:7">
      <c r="A132" s="270" t="s">
        <v>480</v>
      </c>
      <c r="B132" s="292" t="s">
        <v>47</v>
      </c>
      <c r="C132" s="269">
        <v>6</v>
      </c>
      <c r="D132" s="256">
        <v>75</v>
      </c>
      <c r="E132" s="312">
        <f t="shared" si="3"/>
        <v>12.5</v>
      </c>
    </row>
    <row r="133" spans="1:7" s="1" customFormat="1">
      <c r="A133" s="270" t="s">
        <v>90</v>
      </c>
      <c r="B133" s="292" t="s">
        <v>47</v>
      </c>
      <c r="C133" s="269">
        <v>2</v>
      </c>
      <c r="D133" s="256">
        <v>12</v>
      </c>
      <c r="E133" s="312">
        <f t="shared" si="3"/>
        <v>6</v>
      </c>
      <c r="F133" s="35"/>
      <c r="G133" s="35"/>
    </row>
    <row r="134" spans="1:7" s="1" customFormat="1">
      <c r="A134" s="270" t="s">
        <v>66</v>
      </c>
      <c r="B134" s="292" t="s">
        <v>10</v>
      </c>
      <c r="C134" s="269">
        <v>6</v>
      </c>
      <c r="D134" s="256">
        <v>55</v>
      </c>
      <c r="E134" s="312">
        <f t="shared" si="3"/>
        <v>9.1666666666666661</v>
      </c>
      <c r="F134" s="35"/>
      <c r="G134" s="35"/>
    </row>
    <row r="135" spans="1:7" s="1" customFormat="1">
      <c r="A135" s="290" t="s">
        <v>465</v>
      </c>
      <c r="B135" s="429" t="s">
        <v>10</v>
      </c>
      <c r="C135" s="269">
        <v>6</v>
      </c>
      <c r="D135" s="256">
        <v>33</v>
      </c>
      <c r="E135" s="312">
        <f t="shared" si="3"/>
        <v>5.5</v>
      </c>
      <c r="F135" s="35"/>
      <c r="G135" s="35"/>
    </row>
    <row r="136" spans="1:7" s="1" customFormat="1">
      <c r="A136" s="270" t="s">
        <v>30</v>
      </c>
      <c r="B136" s="292" t="s">
        <v>47</v>
      </c>
      <c r="C136" s="269">
        <v>0.5</v>
      </c>
      <c r="D136" s="256">
        <v>23.7</v>
      </c>
      <c r="E136" s="312">
        <f t="shared" si="3"/>
        <v>47.4</v>
      </c>
      <c r="F136" s="35"/>
      <c r="G136" s="35"/>
    </row>
    <row r="137" spans="1:7" s="1" customFormat="1">
      <c r="A137" s="270" t="s">
        <v>481</v>
      </c>
      <c r="B137" s="292" t="s">
        <v>62</v>
      </c>
      <c r="C137" s="269">
        <v>6</v>
      </c>
      <c r="D137" s="256">
        <v>15</v>
      </c>
      <c r="E137" s="312">
        <f t="shared" si="3"/>
        <v>2.5</v>
      </c>
      <c r="F137" s="35"/>
      <c r="G137" s="35"/>
    </row>
    <row r="138" spans="1:7" s="1" customFormat="1">
      <c r="A138" s="270" t="s">
        <v>60</v>
      </c>
      <c r="B138" s="292" t="s">
        <v>48</v>
      </c>
      <c r="C138" s="269">
        <v>2</v>
      </c>
      <c r="D138" s="256">
        <v>26</v>
      </c>
      <c r="E138" s="312">
        <f t="shared" si="3"/>
        <v>13</v>
      </c>
      <c r="F138" s="35"/>
      <c r="G138" s="35"/>
    </row>
    <row r="139" spans="1:7" ht="13.5" thickBot="1">
      <c r="A139" s="14" t="s">
        <v>5</v>
      </c>
      <c r="B139" s="15" t="s">
        <v>6</v>
      </c>
      <c r="C139" s="64">
        <f>E33</f>
        <v>3</v>
      </c>
      <c r="D139" s="16">
        <f>+SUM(E126:E138)</f>
        <v>161.06666666666666</v>
      </c>
      <c r="E139" s="16">
        <f t="shared" ref="E139" si="4">C139*D139</f>
        <v>483.2</v>
      </c>
    </row>
    <row r="140" spans="1:7" ht="13.5" thickBot="1">
      <c r="D140" s="110" t="s">
        <v>166</v>
      </c>
      <c r="E140" s="258">
        <f>$B$42</f>
        <v>0.90913636363636352</v>
      </c>
      <c r="F140" s="111">
        <f>E139*E140</f>
        <v>439.29469090909083</v>
      </c>
    </row>
    <row r="141" spans="1:7" ht="11.25" customHeight="1"/>
    <row r="142" spans="1:7" ht="13.9" customHeight="1" thickBot="1">
      <c r="A142" s="7" t="s">
        <v>169</v>
      </c>
    </row>
    <row r="143" spans="1:7" ht="24.75" thickBot="1">
      <c r="A143" s="55" t="s">
        <v>61</v>
      </c>
      <c r="B143" s="56" t="s">
        <v>62</v>
      </c>
      <c r="C143" s="229" t="s">
        <v>213</v>
      </c>
      <c r="D143" s="57" t="s">
        <v>199</v>
      </c>
      <c r="E143" s="57" t="s">
        <v>63</v>
      </c>
      <c r="F143" s="58" t="s">
        <v>64</v>
      </c>
    </row>
    <row r="144" spans="1:7">
      <c r="A144" s="11" t="s">
        <v>65</v>
      </c>
      <c r="B144" s="12" t="s">
        <v>10</v>
      </c>
      <c r="C144" s="272">
        <f>C126</f>
        <v>12</v>
      </c>
      <c r="D144" s="13">
        <f>+D126</f>
        <v>170</v>
      </c>
      <c r="E144" s="13">
        <f>IFERROR(D144/C144,0)</f>
        <v>14.166666666666666</v>
      </c>
    </row>
    <row r="145" spans="1:7">
      <c r="A145" s="14" t="s">
        <v>28</v>
      </c>
      <c r="B145" s="15" t="s">
        <v>10</v>
      </c>
      <c r="C145" s="272">
        <v>6</v>
      </c>
      <c r="D145" s="16">
        <f>+D127</f>
        <v>75</v>
      </c>
      <c r="E145" s="13">
        <f t="shared" ref="E145:E149" si="5">IFERROR(D145/C145,0)</f>
        <v>12.5</v>
      </c>
    </row>
    <row r="146" spans="1:7">
      <c r="A146" s="14" t="s">
        <v>29</v>
      </c>
      <c r="B146" s="15" t="s">
        <v>10</v>
      </c>
      <c r="C146" s="272">
        <v>4</v>
      </c>
      <c r="D146" s="16">
        <f>D128</f>
        <v>45</v>
      </c>
      <c r="E146" s="13">
        <f t="shared" si="5"/>
        <v>11.25</v>
      </c>
    </row>
    <row r="147" spans="1:7">
      <c r="A147" s="14" t="s">
        <v>67</v>
      </c>
      <c r="B147" s="15" t="s">
        <v>47</v>
      </c>
      <c r="C147" s="272">
        <v>12</v>
      </c>
      <c r="D147" s="16">
        <f>D132</f>
        <v>75</v>
      </c>
      <c r="E147" s="13">
        <f t="shared" si="5"/>
        <v>6.25</v>
      </c>
    </row>
    <row r="148" spans="1:7">
      <c r="A148" s="14" t="s">
        <v>66</v>
      </c>
      <c r="B148" s="15" t="s">
        <v>10</v>
      </c>
      <c r="C148" s="272">
        <v>12</v>
      </c>
      <c r="D148" s="16">
        <f>D134</f>
        <v>55</v>
      </c>
      <c r="E148" s="13">
        <f t="shared" si="5"/>
        <v>4.583333333333333</v>
      </c>
      <c r="G148" s="7"/>
    </row>
    <row r="149" spans="1:7">
      <c r="A149" s="270" t="s">
        <v>481</v>
      </c>
      <c r="B149" s="292" t="s">
        <v>62</v>
      </c>
      <c r="C149" s="269">
        <v>6</v>
      </c>
      <c r="D149" s="16">
        <f>D137</f>
        <v>15</v>
      </c>
      <c r="E149" s="312">
        <f t="shared" si="5"/>
        <v>2.5</v>
      </c>
      <c r="G149" s="7"/>
    </row>
    <row r="150" spans="1:7">
      <c r="A150" s="14" t="s">
        <v>60</v>
      </c>
      <c r="B150" s="15" t="s">
        <v>48</v>
      </c>
      <c r="C150" s="272">
        <f>C137</f>
        <v>6</v>
      </c>
      <c r="D150" s="16">
        <f>D138</f>
        <v>26</v>
      </c>
      <c r="E150" s="13">
        <f t="shared" ref="E150" si="6">IFERROR(D150/C150,0)</f>
        <v>4.333333333333333</v>
      </c>
      <c r="G150" s="7"/>
    </row>
    <row r="151" spans="1:7" ht="13.5" thickBot="1">
      <c r="A151" s="14" t="s">
        <v>5</v>
      </c>
      <c r="B151" s="15" t="s">
        <v>6</v>
      </c>
      <c r="C151" s="64">
        <f>E34</f>
        <v>1</v>
      </c>
      <c r="D151" s="16">
        <f>+SUM(E144:E150)</f>
        <v>55.583333333333336</v>
      </c>
      <c r="E151" s="16">
        <f t="shared" ref="E151" si="7">C151*D151</f>
        <v>55.583333333333336</v>
      </c>
      <c r="G151" s="7"/>
    </row>
    <row r="152" spans="1:7" ht="13.5" thickBot="1">
      <c r="D152" s="110" t="s">
        <v>166</v>
      </c>
      <c r="E152" s="258">
        <f>E71</f>
        <v>1.0000090909090908</v>
      </c>
      <c r="F152" s="111">
        <f>E151*E152</f>
        <v>55.583838636363637</v>
      </c>
      <c r="G152" s="7"/>
    </row>
    <row r="153" spans="1:7" ht="11.25" customHeight="1" thickBot="1">
      <c r="G153" s="7"/>
    </row>
    <row r="154" spans="1:7" ht="13.5" thickBot="1">
      <c r="A154" s="22" t="s">
        <v>170</v>
      </c>
      <c r="B154" s="26"/>
      <c r="C154" s="26"/>
      <c r="D154" s="27"/>
      <c r="E154" s="28"/>
      <c r="F154" s="19">
        <f>+F140+F152</f>
        <v>494.87852954545446</v>
      </c>
      <c r="G154" s="7"/>
    </row>
    <row r="155" spans="1:7" ht="11.25" customHeight="1">
      <c r="G155" s="7"/>
    </row>
    <row r="156" spans="1:7">
      <c r="A156" s="9" t="s">
        <v>53</v>
      </c>
      <c r="G156" s="7"/>
    </row>
    <row r="157" spans="1:7">
      <c r="A157" s="5" t="s">
        <v>310</v>
      </c>
      <c r="G157" s="7"/>
    </row>
    <row r="158" spans="1:7" ht="13.5" thickBot="1">
      <c r="A158" s="96" t="s">
        <v>45</v>
      </c>
      <c r="G158" s="7"/>
    </row>
    <row r="159" spans="1:7" ht="13.5" thickBot="1">
      <c r="A159" s="55" t="s">
        <v>61</v>
      </c>
      <c r="B159" s="56" t="s">
        <v>62</v>
      </c>
      <c r="C159" s="56" t="s">
        <v>39</v>
      </c>
      <c r="D159" s="57" t="s">
        <v>199</v>
      </c>
      <c r="E159" s="57" t="s">
        <v>63</v>
      </c>
      <c r="F159" s="58" t="s">
        <v>64</v>
      </c>
      <c r="G159" s="7"/>
    </row>
    <row r="160" spans="1:7">
      <c r="A160" s="11" t="s">
        <v>100</v>
      </c>
      <c r="B160" s="12" t="s">
        <v>10</v>
      </c>
      <c r="C160" s="12">
        <v>1</v>
      </c>
      <c r="D160" s="80">
        <v>450000</v>
      </c>
      <c r="E160" s="13">
        <f>C160*D160</f>
        <v>450000</v>
      </c>
      <c r="G160" s="7"/>
    </row>
    <row r="161" spans="1:10">
      <c r="A161" s="14" t="s">
        <v>97</v>
      </c>
      <c r="B161" s="15" t="s">
        <v>98</v>
      </c>
      <c r="C161" s="79">
        <v>10</v>
      </c>
      <c r="D161" s="76"/>
      <c r="E161" s="16"/>
      <c r="G161" s="7"/>
    </row>
    <row r="162" spans="1:10">
      <c r="A162" s="14" t="s">
        <v>177</v>
      </c>
      <c r="B162" s="15" t="s">
        <v>98</v>
      </c>
      <c r="C162" s="79">
        <v>0</v>
      </c>
      <c r="D162" s="16"/>
      <c r="E162" s="16"/>
      <c r="F162" s="18"/>
      <c r="I162" s="78"/>
      <c r="J162" s="78"/>
    </row>
    <row r="163" spans="1:10">
      <c r="A163" s="14" t="s">
        <v>99</v>
      </c>
      <c r="B163" s="15" t="s">
        <v>2</v>
      </c>
      <c r="C163" s="126">
        <f>'8. Depr'!B12</f>
        <v>65.180000000000007</v>
      </c>
      <c r="D163" s="16">
        <f>E160</f>
        <v>450000</v>
      </c>
      <c r="E163" s="16">
        <f>C163*D163/100</f>
        <v>293310.00000000006</v>
      </c>
    </row>
    <row r="164" spans="1:10" ht="13.5" thickBot="1">
      <c r="A164" s="234" t="s">
        <v>49</v>
      </c>
      <c r="B164" s="235" t="s">
        <v>8</v>
      </c>
      <c r="C164" s="235">
        <f>C161*12</f>
        <v>120</v>
      </c>
      <c r="D164" s="236">
        <f>IF(C162&lt;=C161,E163,0)</f>
        <v>293310.00000000006</v>
      </c>
      <c r="E164" s="236">
        <f>IFERROR(D164/C164,0)</f>
        <v>2444.2500000000005</v>
      </c>
    </row>
    <row r="165" spans="1:10" ht="13.5" thickTop="1">
      <c r="A165" s="254" t="s">
        <v>311</v>
      </c>
      <c r="B165" s="12" t="s">
        <v>10</v>
      </c>
      <c r="C165" s="12">
        <f>C160</f>
        <v>1</v>
      </c>
      <c r="D165" s="80">
        <v>170000</v>
      </c>
      <c r="E165" s="13">
        <f>C165*D165</f>
        <v>170000</v>
      </c>
      <c r="G165" s="78"/>
    </row>
    <row r="166" spans="1:10">
      <c r="A166" s="270" t="s">
        <v>97</v>
      </c>
      <c r="B166" s="15" t="s">
        <v>98</v>
      </c>
      <c r="C166" s="79">
        <v>10</v>
      </c>
      <c r="D166" s="16"/>
      <c r="E166" s="16"/>
    </row>
    <row r="167" spans="1:10">
      <c r="A167" s="270" t="s">
        <v>312</v>
      </c>
      <c r="B167" s="15" t="s">
        <v>98</v>
      </c>
      <c r="C167" s="79">
        <v>0</v>
      </c>
      <c r="D167" s="16"/>
      <c r="E167" s="16"/>
      <c r="F167" s="18"/>
      <c r="I167" s="78"/>
      <c r="J167" s="78"/>
    </row>
    <row r="168" spans="1:10">
      <c r="A168" s="270" t="s">
        <v>99</v>
      </c>
      <c r="B168" s="15" t="s">
        <v>2</v>
      </c>
      <c r="C168" s="127">
        <f>'8. Depr'!B12</f>
        <v>65.180000000000007</v>
      </c>
      <c r="D168" s="16">
        <f>E165</f>
        <v>170000</v>
      </c>
      <c r="E168" s="16">
        <f>C168*D168/100</f>
        <v>110806.00000000001</v>
      </c>
    </row>
    <row r="169" spans="1:10">
      <c r="A169" s="92" t="s">
        <v>313</v>
      </c>
      <c r="B169" s="93" t="s">
        <v>8</v>
      </c>
      <c r="C169" s="93">
        <f>C166*12</f>
        <v>120</v>
      </c>
      <c r="D169" s="94">
        <f>IF(C167&lt;=C166,E168,0)</f>
        <v>110806.00000000001</v>
      </c>
      <c r="E169" s="94">
        <f>IFERROR(D169/C169,0)</f>
        <v>923.38333333333344</v>
      </c>
    </row>
    <row r="170" spans="1:10">
      <c r="A170" s="92" t="s">
        <v>338</v>
      </c>
      <c r="B170" s="93" t="s">
        <v>8</v>
      </c>
      <c r="C170" s="93">
        <v>1</v>
      </c>
      <c r="D170" s="94">
        <f>IF(C168&lt;=C167,E169,0)</f>
        <v>0</v>
      </c>
      <c r="E170" s="94">
        <f>(E164+E169)*0.1</f>
        <v>336.76333333333343</v>
      </c>
    </row>
    <row r="171" spans="1:10">
      <c r="A171" s="105" t="s">
        <v>216</v>
      </c>
      <c r="B171" s="106"/>
      <c r="C171" s="106"/>
      <c r="D171" s="107"/>
      <c r="E171" s="108">
        <f>E164+E169+E170</f>
        <v>3704.3966666666674</v>
      </c>
    </row>
    <row r="172" spans="1:10" ht="13.5" thickBot="1">
      <c r="A172" s="92" t="s">
        <v>217</v>
      </c>
      <c r="B172" s="93" t="s">
        <v>10</v>
      </c>
      <c r="C172" s="79">
        <v>1</v>
      </c>
      <c r="D172" s="94">
        <f>E171</f>
        <v>3704.3966666666674</v>
      </c>
      <c r="E172" s="108">
        <f>C172*D172</f>
        <v>3704.3966666666674</v>
      </c>
    </row>
    <row r="173" spans="1:10" ht="13.5" thickBot="1">
      <c r="A173" s="232"/>
      <c r="B173" s="232"/>
      <c r="C173" s="232"/>
      <c r="D173" s="110" t="s">
        <v>166</v>
      </c>
      <c r="E173" s="258">
        <f>E113</f>
        <v>1.0000090909090908</v>
      </c>
      <c r="F173" s="19">
        <f>E172*E173</f>
        <v>3704.4303430000004</v>
      </c>
    </row>
    <row r="174" spans="1:10" ht="11.25" customHeight="1"/>
    <row r="175" spans="1:10" ht="13.5" thickBot="1">
      <c r="A175" s="96" t="s">
        <v>104</v>
      </c>
    </row>
    <row r="176" spans="1:10" ht="13.5" thickBot="1">
      <c r="A176" s="55" t="s">
        <v>61</v>
      </c>
      <c r="B176" s="56" t="s">
        <v>62</v>
      </c>
      <c r="C176" s="56" t="s">
        <v>39</v>
      </c>
      <c r="D176" s="57" t="s">
        <v>199</v>
      </c>
      <c r="E176" s="57" t="s">
        <v>63</v>
      </c>
      <c r="F176" s="58" t="s">
        <v>64</v>
      </c>
      <c r="I176" s="78"/>
      <c r="J176" s="78"/>
    </row>
    <row r="177" spans="1:10">
      <c r="A177" s="11" t="s">
        <v>103</v>
      </c>
      <c r="B177" s="12" t="s">
        <v>10</v>
      </c>
      <c r="C177" s="12">
        <v>1</v>
      </c>
      <c r="D177" s="13">
        <f>D160</f>
        <v>450000</v>
      </c>
      <c r="E177" s="13">
        <f>C177*D177</f>
        <v>450000</v>
      </c>
      <c r="F177" s="18"/>
      <c r="I177" s="78"/>
      <c r="J177" s="78"/>
    </row>
    <row r="178" spans="1:10">
      <c r="A178" s="14" t="s">
        <v>180</v>
      </c>
      <c r="B178" s="15" t="s">
        <v>2</v>
      </c>
      <c r="C178" s="81">
        <v>14</v>
      </c>
      <c r="D178" s="16"/>
      <c r="E178" s="16"/>
      <c r="F178" s="18"/>
      <c r="I178" s="78"/>
      <c r="J178" s="78"/>
    </row>
    <row r="179" spans="1:10">
      <c r="A179" s="14" t="s">
        <v>178</v>
      </c>
      <c r="B179" s="15" t="s">
        <v>32</v>
      </c>
      <c r="C179" s="132">
        <f>IFERROR(IF(C162&lt;=C161,E160-(C163/(100*C161)*C162)*E160,E160-E163),0)</f>
        <v>450000</v>
      </c>
      <c r="D179" s="16"/>
      <c r="E179" s="16"/>
      <c r="F179" s="18"/>
      <c r="I179" s="78"/>
      <c r="J179" s="78"/>
    </row>
    <row r="180" spans="1:10">
      <c r="A180" s="14" t="s">
        <v>106</v>
      </c>
      <c r="B180" s="15" t="s">
        <v>32</v>
      </c>
      <c r="C180" s="76">
        <f>IFERROR(IF(C162&gt;=C161,C179,((((C179)-(E160-E163))*(((C161-C162)+1)/(2*(C161-C162))))+(E160-E163))),0)</f>
        <v>318010.5</v>
      </c>
      <c r="D180" s="16"/>
      <c r="E180" s="16"/>
      <c r="F180" s="18"/>
      <c r="I180" s="78"/>
      <c r="J180" s="78"/>
    </row>
    <row r="181" spans="1:10" ht="13.5" thickBot="1">
      <c r="A181" s="234" t="s">
        <v>107</v>
      </c>
      <c r="B181" s="235" t="s">
        <v>32</v>
      </c>
      <c r="C181" s="235"/>
      <c r="D181" s="237">
        <f>C178*C180/12/100</f>
        <v>3710.1224999999999</v>
      </c>
      <c r="E181" s="236">
        <f>D181</f>
        <v>3710.1224999999999</v>
      </c>
      <c r="F181" s="18"/>
      <c r="I181" s="78"/>
      <c r="J181" s="78"/>
    </row>
    <row r="182" spans="1:10" ht="13.5" thickTop="1">
      <c r="A182" s="254" t="s">
        <v>311</v>
      </c>
      <c r="B182" s="12" t="s">
        <v>10</v>
      </c>
      <c r="C182" s="12">
        <f>C165</f>
        <v>1</v>
      </c>
      <c r="D182" s="13">
        <f>D165</f>
        <v>170000</v>
      </c>
      <c r="E182" s="13">
        <f>C182*D182</f>
        <v>170000</v>
      </c>
      <c r="F182" s="18"/>
      <c r="I182" s="78"/>
      <c r="J182" s="78"/>
    </row>
    <row r="183" spans="1:10">
      <c r="A183" s="270" t="s">
        <v>180</v>
      </c>
      <c r="B183" s="15" t="s">
        <v>2</v>
      </c>
      <c r="C183" s="15">
        <f>C178</f>
        <v>14</v>
      </c>
      <c r="D183" s="16"/>
      <c r="E183" s="16"/>
      <c r="F183" s="18"/>
      <c r="I183" s="78"/>
      <c r="J183" s="78"/>
    </row>
    <row r="184" spans="1:10">
      <c r="A184" s="14" t="s">
        <v>179</v>
      </c>
      <c r="B184" s="15" t="s">
        <v>32</v>
      </c>
      <c r="C184" s="132">
        <f>IFERROR(IF(C167&lt;=C166,E165-(C168/(100*C166)*C167)*E165,E165-E168),0)</f>
        <v>170000</v>
      </c>
      <c r="D184" s="16"/>
      <c r="E184" s="16"/>
      <c r="F184" s="18"/>
      <c r="I184" s="78"/>
      <c r="J184" s="78"/>
    </row>
    <row r="185" spans="1:10">
      <c r="A185" s="270" t="s">
        <v>334</v>
      </c>
      <c r="B185" s="15" t="s">
        <v>32</v>
      </c>
      <c r="C185" s="76">
        <f>IFERROR(IF(C167&gt;=C166,C184,((((C184)-(E165-E168))*(((C166-C167)+1)/(2*(C166-C167))))+(E165-E168))),0)</f>
        <v>120137.29999999999</v>
      </c>
      <c r="D185" s="16"/>
      <c r="E185" s="16"/>
      <c r="F185" s="18"/>
      <c r="I185" s="78"/>
      <c r="J185" s="78"/>
    </row>
    <row r="186" spans="1:10">
      <c r="A186" s="92" t="s">
        <v>335</v>
      </c>
      <c r="B186" s="93" t="s">
        <v>32</v>
      </c>
      <c r="C186" s="93"/>
      <c r="D186" s="102">
        <f>C183*C185/12/100</f>
        <v>1401.6018333333332</v>
      </c>
      <c r="E186" s="94">
        <f>D186</f>
        <v>1401.6018333333332</v>
      </c>
      <c r="F186" s="18"/>
      <c r="I186" s="78"/>
      <c r="J186" s="78"/>
    </row>
    <row r="187" spans="1:10">
      <c r="A187" s="92" t="s">
        <v>338</v>
      </c>
      <c r="B187" s="93" t="s">
        <v>8</v>
      </c>
      <c r="C187" s="93">
        <v>1</v>
      </c>
      <c r="D187" s="94"/>
      <c r="E187" s="94">
        <f>(E181+E186)*0.1</f>
        <v>511.1724333333334</v>
      </c>
      <c r="F187" s="18"/>
      <c r="I187" s="78"/>
      <c r="J187" s="78"/>
    </row>
    <row r="188" spans="1:10">
      <c r="A188" s="105" t="s">
        <v>216</v>
      </c>
      <c r="B188" s="106"/>
      <c r="C188" s="106"/>
      <c r="D188" s="107"/>
      <c r="E188" s="108">
        <f>E181+E186+E187</f>
        <v>5622.8967666666667</v>
      </c>
      <c r="F188" s="18"/>
      <c r="G188" s="291"/>
      <c r="I188" s="78"/>
      <c r="J188" s="78"/>
    </row>
    <row r="189" spans="1:10" ht="13.5" thickBot="1">
      <c r="A189" s="92" t="s">
        <v>217</v>
      </c>
      <c r="B189" s="93" t="s">
        <v>10</v>
      </c>
      <c r="C189" s="15">
        <f>C172</f>
        <v>1</v>
      </c>
      <c r="D189" s="94">
        <f>E188</f>
        <v>5622.8967666666667</v>
      </c>
      <c r="E189" s="108">
        <f>C189*D189</f>
        <v>5622.8967666666667</v>
      </c>
      <c r="F189" s="18"/>
      <c r="I189" s="78"/>
      <c r="J189" s="78"/>
    </row>
    <row r="190" spans="1:10" ht="13.5" thickBot="1">
      <c r="C190" s="17"/>
      <c r="D190" s="110" t="s">
        <v>166</v>
      </c>
      <c r="E190" s="258">
        <f>E173</f>
        <v>1.0000090909090908</v>
      </c>
      <c r="F190" s="19">
        <f>E189*E190</f>
        <v>5622.9478839099993</v>
      </c>
      <c r="I190" s="78"/>
      <c r="J190" s="78"/>
    </row>
    <row r="191" spans="1:10" ht="11.25" customHeight="1">
      <c r="I191" s="78"/>
      <c r="J191" s="78"/>
    </row>
    <row r="192" spans="1:10" ht="13.5" thickBot="1">
      <c r="A192" s="7" t="s">
        <v>50</v>
      </c>
      <c r="I192" s="78"/>
      <c r="J192" s="78"/>
    </row>
    <row r="193" spans="1:10" ht="13.5" thickBot="1">
      <c r="A193" s="55" t="s">
        <v>61</v>
      </c>
      <c r="B193" s="56" t="s">
        <v>62</v>
      </c>
      <c r="C193" s="56" t="s">
        <v>39</v>
      </c>
      <c r="D193" s="57" t="s">
        <v>199</v>
      </c>
      <c r="E193" s="57" t="s">
        <v>63</v>
      </c>
      <c r="F193" s="58" t="s">
        <v>64</v>
      </c>
      <c r="I193" s="78"/>
      <c r="J193" s="78"/>
    </row>
    <row r="194" spans="1:10">
      <c r="A194" s="11" t="s">
        <v>11</v>
      </c>
      <c r="B194" s="12" t="s">
        <v>10</v>
      </c>
      <c r="C194" s="13">
        <f>C172</f>
        <v>1</v>
      </c>
      <c r="D194" s="13">
        <f>C179*0.01</f>
        <v>4500</v>
      </c>
      <c r="E194" s="13">
        <f>C194*D194</f>
        <v>4500</v>
      </c>
      <c r="I194" s="78"/>
      <c r="J194" s="78"/>
    </row>
    <row r="195" spans="1:10">
      <c r="A195" s="14" t="s">
        <v>165</v>
      </c>
      <c r="B195" s="15" t="s">
        <v>10</v>
      </c>
      <c r="C195" s="13">
        <f>C172</f>
        <v>1</v>
      </c>
      <c r="D195" s="82">
        <v>109.27</v>
      </c>
      <c r="E195" s="16">
        <f>C195*D195</f>
        <v>109.27</v>
      </c>
      <c r="I195" s="78"/>
      <c r="J195" s="78"/>
    </row>
    <row r="196" spans="1:10">
      <c r="A196" s="14" t="s">
        <v>12</v>
      </c>
      <c r="B196" s="15" t="s">
        <v>10</v>
      </c>
      <c r="C196" s="13">
        <f>C172</f>
        <v>1</v>
      </c>
      <c r="D196" s="82">
        <v>3800</v>
      </c>
      <c r="E196" s="16">
        <f>C196*D196</f>
        <v>3800</v>
      </c>
      <c r="F196" s="29"/>
      <c r="I196" s="78"/>
      <c r="J196" s="78"/>
    </row>
    <row r="197" spans="1:10" ht="13.5" thickBot="1">
      <c r="A197" s="92" t="s">
        <v>13</v>
      </c>
      <c r="B197" s="93" t="s">
        <v>8</v>
      </c>
      <c r="C197" s="93">
        <v>12</v>
      </c>
      <c r="D197" s="94">
        <f>SUM(E194:E196)</f>
        <v>8409.27</v>
      </c>
      <c r="E197" s="94">
        <f>D197/C197</f>
        <v>700.77250000000004</v>
      </c>
      <c r="I197" s="78"/>
      <c r="J197" s="78"/>
    </row>
    <row r="198" spans="1:10" ht="13.5" thickBot="1">
      <c r="D198" s="110" t="s">
        <v>166</v>
      </c>
      <c r="E198" s="258">
        <f>E190</f>
        <v>1.0000090909090908</v>
      </c>
      <c r="F198" s="111">
        <f>E197*E198</f>
        <v>700.7788706590909</v>
      </c>
      <c r="I198" s="78"/>
      <c r="J198" s="78"/>
    </row>
    <row r="199" spans="1:10" ht="11.25" customHeight="1">
      <c r="I199" s="78"/>
      <c r="J199" s="78"/>
    </row>
    <row r="200" spans="1:10">
      <c r="A200" s="7" t="s">
        <v>51</v>
      </c>
      <c r="B200" s="30"/>
      <c r="I200" s="78"/>
      <c r="J200" s="78"/>
    </row>
    <row r="201" spans="1:10" ht="13.5" thickBot="1">
      <c r="A201" s="92" t="s">
        <v>109</v>
      </c>
      <c r="B201" s="276">
        <f>'7. Roteiros'!M14+'7. Roteiros'!M27+'7. Roteiros'!M38</f>
        <v>3619.6551885714284</v>
      </c>
      <c r="I201" s="78"/>
      <c r="J201" s="78"/>
    </row>
    <row r="202" spans="1:10" ht="13.5" thickBot="1">
      <c r="A202" s="55" t="s">
        <v>61</v>
      </c>
      <c r="B202" s="56" t="s">
        <v>62</v>
      </c>
      <c r="C202" s="56" t="s">
        <v>215</v>
      </c>
      <c r="D202" s="57" t="s">
        <v>199</v>
      </c>
      <c r="E202" s="57" t="s">
        <v>63</v>
      </c>
      <c r="F202" s="58" t="s">
        <v>64</v>
      </c>
      <c r="I202" s="78"/>
      <c r="J202" s="78"/>
    </row>
    <row r="203" spans="1:10">
      <c r="A203" s="254" t="s">
        <v>14</v>
      </c>
      <c r="B203" s="384" t="s">
        <v>15</v>
      </c>
      <c r="C203" s="393">
        <v>2</v>
      </c>
      <c r="D203" s="256">
        <v>6.44</v>
      </c>
      <c r="E203" s="312"/>
      <c r="I203" s="78"/>
      <c r="J203" s="78"/>
    </row>
    <row r="204" spans="1:10">
      <c r="A204" s="270" t="s">
        <v>16</v>
      </c>
      <c r="B204" s="292" t="s">
        <v>17</v>
      </c>
      <c r="C204" s="278">
        <f>B201</f>
        <v>3619.6551885714284</v>
      </c>
      <c r="D204" s="319">
        <f>IFERROR(+D203/C203,"-")</f>
        <v>3.22</v>
      </c>
      <c r="E204" s="278">
        <f>IFERROR(C204*D204,"-")</f>
        <v>11655.2897072</v>
      </c>
      <c r="I204" s="78"/>
      <c r="J204" s="78"/>
    </row>
    <row r="205" spans="1:10">
      <c r="A205" s="270" t="s">
        <v>200</v>
      </c>
      <c r="B205" s="292" t="s">
        <v>18</v>
      </c>
      <c r="C205" s="300">
        <v>1.33</v>
      </c>
      <c r="D205" s="282">
        <v>30</v>
      </c>
      <c r="E205" s="278"/>
      <c r="G205" s="101"/>
      <c r="I205" s="78"/>
      <c r="J205" s="78"/>
    </row>
    <row r="206" spans="1:10">
      <c r="A206" s="270" t="s">
        <v>19</v>
      </c>
      <c r="B206" s="292" t="s">
        <v>17</v>
      </c>
      <c r="C206" s="278">
        <f>C204</f>
        <v>3619.6551885714284</v>
      </c>
      <c r="D206" s="283">
        <f>+C205*D205/1000</f>
        <v>3.9900000000000005E-2</v>
      </c>
      <c r="E206" s="278">
        <f>C206*D206</f>
        <v>144.42424202400002</v>
      </c>
      <c r="G206" s="101"/>
      <c r="I206" s="78"/>
      <c r="J206" s="78"/>
    </row>
    <row r="207" spans="1:10">
      <c r="A207" s="270" t="s">
        <v>201</v>
      </c>
      <c r="B207" s="292" t="s">
        <v>18</v>
      </c>
      <c r="C207" s="300">
        <v>0.18</v>
      </c>
      <c r="D207" s="282">
        <v>28</v>
      </c>
      <c r="E207" s="278"/>
      <c r="G207" s="101"/>
      <c r="I207" s="78"/>
      <c r="J207" s="78"/>
    </row>
    <row r="208" spans="1:10">
      <c r="A208" s="270" t="s">
        <v>20</v>
      </c>
      <c r="B208" s="292" t="s">
        <v>17</v>
      </c>
      <c r="C208" s="278">
        <f>C204</f>
        <v>3619.6551885714284</v>
      </c>
      <c r="D208" s="283">
        <f>+C207*D207/1000</f>
        <v>5.0400000000000002E-3</v>
      </c>
      <c r="E208" s="278">
        <f>C208*D208</f>
        <v>18.2430621504</v>
      </c>
      <c r="G208" s="101"/>
      <c r="I208" s="78"/>
      <c r="J208" s="78"/>
    </row>
    <row r="209" spans="1:10">
      <c r="A209" s="270" t="s">
        <v>202</v>
      </c>
      <c r="B209" s="292" t="s">
        <v>18</v>
      </c>
      <c r="C209" s="300">
        <v>2</v>
      </c>
      <c r="D209" s="282">
        <v>26</v>
      </c>
      <c r="E209" s="278"/>
      <c r="G209" s="101"/>
      <c r="I209" s="78"/>
      <c r="J209" s="78"/>
    </row>
    <row r="210" spans="1:10">
      <c r="A210" s="270" t="s">
        <v>21</v>
      </c>
      <c r="B210" s="292" t="s">
        <v>17</v>
      </c>
      <c r="C210" s="278">
        <f>C204</f>
        <v>3619.6551885714284</v>
      </c>
      <c r="D210" s="283">
        <f>+C209*D209/1000</f>
        <v>5.1999999999999998E-2</v>
      </c>
      <c r="E210" s="278">
        <f>C210*D210</f>
        <v>188.22206980571426</v>
      </c>
      <c r="G210" s="101"/>
      <c r="I210" s="78"/>
      <c r="J210" s="78"/>
    </row>
    <row r="211" spans="1:10">
      <c r="A211" s="270" t="s">
        <v>333</v>
      </c>
      <c r="B211" s="292" t="s">
        <v>18</v>
      </c>
      <c r="C211" s="300">
        <f>1000/C203*0.05</f>
        <v>25</v>
      </c>
      <c r="D211" s="282">
        <v>3.8</v>
      </c>
      <c r="E211" s="278"/>
      <c r="G211" s="101"/>
      <c r="I211" s="78"/>
      <c r="J211" s="78"/>
    </row>
    <row r="212" spans="1:10">
      <c r="A212" s="270" t="s">
        <v>332</v>
      </c>
      <c r="B212" s="292" t="s">
        <v>17</v>
      </c>
      <c r="C212" s="278">
        <f>C206</f>
        <v>3619.6551885714284</v>
      </c>
      <c r="D212" s="283">
        <f>+C211*D211/1000</f>
        <v>9.5000000000000001E-2</v>
      </c>
      <c r="E212" s="278">
        <f>C212*D212</f>
        <v>343.86724291428573</v>
      </c>
      <c r="G212" s="101"/>
      <c r="I212" s="78"/>
      <c r="J212" s="78"/>
    </row>
    <row r="213" spans="1:10">
      <c r="A213" s="270" t="s">
        <v>22</v>
      </c>
      <c r="B213" s="292" t="s">
        <v>23</v>
      </c>
      <c r="C213" s="300">
        <v>1</v>
      </c>
      <c r="D213" s="282">
        <v>28</v>
      </c>
      <c r="E213" s="278"/>
      <c r="G213" s="101"/>
      <c r="I213" s="78"/>
      <c r="J213" s="78"/>
    </row>
    <row r="214" spans="1:10">
      <c r="A214" s="270" t="s">
        <v>24</v>
      </c>
      <c r="B214" s="292" t="s">
        <v>17</v>
      </c>
      <c r="C214" s="278">
        <f>C204</f>
        <v>3619.6551885714284</v>
      </c>
      <c r="D214" s="283">
        <f>+C213*D213/1000</f>
        <v>2.8000000000000001E-2</v>
      </c>
      <c r="E214" s="278">
        <f>C214*D214</f>
        <v>101.35034528</v>
      </c>
      <c r="G214" s="101"/>
      <c r="I214" s="78"/>
      <c r="J214" s="78"/>
    </row>
    <row r="215" spans="1:10" ht="13.5" thickBot="1">
      <c r="A215" s="92" t="s">
        <v>214</v>
      </c>
      <c r="B215" s="93" t="s">
        <v>110</v>
      </c>
      <c r="C215" s="230"/>
      <c r="D215" s="231">
        <f>IFERROR(D204+D206+D208+D210+D212+D214,0)</f>
        <v>3.4399400000000004</v>
      </c>
      <c r="E215" s="16"/>
      <c r="G215" s="101"/>
      <c r="I215" s="78"/>
      <c r="J215" s="78"/>
    </row>
    <row r="216" spans="1:10" ht="13.5" thickBot="1">
      <c r="F216" s="19">
        <f>SUM(E203:E214)</f>
        <v>12451.396669374401</v>
      </c>
      <c r="I216" s="78"/>
      <c r="J216" s="78"/>
    </row>
    <row r="217" spans="1:10" ht="11.25" customHeight="1">
      <c r="I217" s="78"/>
      <c r="J217" s="78"/>
    </row>
    <row r="218" spans="1:10" ht="13.5" thickBot="1">
      <c r="A218" s="7" t="s">
        <v>52</v>
      </c>
      <c r="I218" s="78"/>
      <c r="J218" s="78"/>
    </row>
    <row r="219" spans="1:10" ht="13.5" thickBot="1">
      <c r="A219" s="55" t="s">
        <v>61</v>
      </c>
      <c r="B219" s="56" t="s">
        <v>62</v>
      </c>
      <c r="C219" s="56" t="s">
        <v>39</v>
      </c>
      <c r="D219" s="57" t="s">
        <v>199</v>
      </c>
      <c r="E219" s="57" t="s">
        <v>63</v>
      </c>
      <c r="F219" s="58" t="s">
        <v>64</v>
      </c>
      <c r="I219" s="78"/>
      <c r="J219" s="78"/>
    </row>
    <row r="220" spans="1:10" ht="13.5" thickBot="1">
      <c r="A220" s="11" t="s">
        <v>108</v>
      </c>
      <c r="B220" s="12" t="s">
        <v>110</v>
      </c>
      <c r="C220" s="16">
        <f>C204</f>
        <v>3619.6551885714284</v>
      </c>
      <c r="D220" s="80">
        <v>1.1399999999999999</v>
      </c>
      <c r="E220" s="13">
        <f>C220*D220</f>
        <v>4126.4069149714278</v>
      </c>
      <c r="I220" s="78"/>
      <c r="J220" s="78"/>
    </row>
    <row r="221" spans="1:10" ht="13.5" thickBot="1">
      <c r="F221" s="19">
        <f>E220</f>
        <v>4126.4069149714278</v>
      </c>
      <c r="I221" s="78"/>
      <c r="J221" s="78"/>
    </row>
    <row r="222" spans="1:10" ht="11.25" customHeight="1">
      <c r="I222" s="78"/>
      <c r="J222" s="78"/>
    </row>
    <row r="223" spans="1:10" ht="13.5" thickBot="1">
      <c r="A223" s="7" t="s">
        <v>59</v>
      </c>
      <c r="I223" s="78"/>
      <c r="J223" s="78"/>
    </row>
    <row r="224" spans="1:10" ht="13.5" thickBot="1">
      <c r="A224" s="55" t="s">
        <v>61</v>
      </c>
      <c r="B224" s="56" t="s">
        <v>62</v>
      </c>
      <c r="C224" s="56" t="s">
        <v>39</v>
      </c>
      <c r="D224" s="57" t="s">
        <v>199</v>
      </c>
      <c r="E224" s="57" t="s">
        <v>63</v>
      </c>
      <c r="F224" s="58" t="s">
        <v>64</v>
      </c>
      <c r="I224" s="78"/>
      <c r="J224" s="78"/>
    </row>
    <row r="225" spans="1:10">
      <c r="A225" s="254" t="s">
        <v>331</v>
      </c>
      <c r="B225" s="12" t="s">
        <v>10</v>
      </c>
      <c r="C225" s="88">
        <v>6</v>
      </c>
      <c r="D225" s="80">
        <v>2800</v>
      </c>
      <c r="E225" s="13">
        <f>C225*D225</f>
        <v>16800</v>
      </c>
      <c r="I225" s="78"/>
      <c r="J225" s="78"/>
    </row>
    <row r="226" spans="1:10">
      <c r="A226" s="11" t="s">
        <v>111</v>
      </c>
      <c r="B226" s="12" t="s">
        <v>10</v>
      </c>
      <c r="C226" s="88">
        <v>2</v>
      </c>
      <c r="D226" s="95"/>
      <c r="E226" s="13"/>
      <c r="I226" s="78"/>
      <c r="J226" s="78"/>
    </row>
    <row r="227" spans="1:10">
      <c r="A227" s="11" t="s">
        <v>69</v>
      </c>
      <c r="B227" s="12" t="s">
        <v>10</v>
      </c>
      <c r="C227" s="13">
        <f>C225*C226</f>
        <v>12</v>
      </c>
      <c r="D227" s="80">
        <v>750</v>
      </c>
      <c r="E227" s="13">
        <f>C227*D227</f>
        <v>9000</v>
      </c>
      <c r="I227" s="78"/>
      <c r="J227" s="78"/>
    </row>
    <row r="228" spans="1:10">
      <c r="A228" s="14" t="s">
        <v>91</v>
      </c>
      <c r="B228" s="15" t="s">
        <v>25</v>
      </c>
      <c r="C228" s="89">
        <v>80000</v>
      </c>
      <c r="D228" s="16">
        <f>E225+E227</f>
        <v>25800</v>
      </c>
      <c r="E228" s="16">
        <f>IFERROR(D228/C228,"-")</f>
        <v>0.32250000000000001</v>
      </c>
      <c r="I228" s="78"/>
      <c r="J228" s="78"/>
    </row>
    <row r="229" spans="1:10" ht="13.5" thickBot="1">
      <c r="A229" s="14" t="s">
        <v>54</v>
      </c>
      <c r="B229" s="15" t="s">
        <v>17</v>
      </c>
      <c r="C229" s="16">
        <f>B201</f>
        <v>3619.6551885714284</v>
      </c>
      <c r="D229" s="16">
        <f>E228</f>
        <v>0.32250000000000001</v>
      </c>
      <c r="E229" s="16">
        <f>IFERROR(C229*D229,0)</f>
        <v>1167.3387983142857</v>
      </c>
      <c r="I229" s="78"/>
      <c r="J229" s="78"/>
    </row>
    <row r="230" spans="1:10" ht="13.5" thickBot="1">
      <c r="F230" s="19">
        <f>E229</f>
        <v>1167.3387983142857</v>
      </c>
      <c r="I230" s="78"/>
      <c r="J230" s="78"/>
    </row>
    <row r="231" spans="1:10" ht="11.25" customHeight="1">
      <c r="I231" s="78"/>
      <c r="J231" s="78"/>
    </row>
    <row r="232" spans="1:10" ht="11.25" customHeight="1" thickBot="1">
      <c r="G232" s="7"/>
    </row>
    <row r="233" spans="1:10" ht="13.5" thickBot="1">
      <c r="A233" s="22" t="s">
        <v>192</v>
      </c>
      <c r="B233" s="23"/>
      <c r="C233" s="23"/>
      <c r="D233" s="24"/>
      <c r="E233" s="25"/>
      <c r="F233" s="19">
        <f>+SUM(F160:F232)</f>
        <v>27773.299480229205</v>
      </c>
      <c r="G233" s="7"/>
    </row>
    <row r="234" spans="1:10" ht="11.25" customHeight="1">
      <c r="G234" s="7"/>
    </row>
    <row r="235" spans="1:10" ht="13.5" thickBot="1">
      <c r="A235" s="9" t="s">
        <v>347</v>
      </c>
      <c r="B235" s="9"/>
      <c r="C235" s="9"/>
      <c r="D235" s="32"/>
      <c r="E235" s="32"/>
      <c r="F235" s="31"/>
      <c r="G235" s="7"/>
    </row>
    <row r="236" spans="1:10" ht="13.5" thickBot="1">
      <c r="A236" s="55" t="s">
        <v>61</v>
      </c>
      <c r="B236" s="56" t="s">
        <v>62</v>
      </c>
      <c r="C236" s="56" t="s">
        <v>39</v>
      </c>
      <c r="D236" s="57" t="s">
        <v>199</v>
      </c>
      <c r="E236" s="57" t="s">
        <v>63</v>
      </c>
      <c r="F236" s="58" t="s">
        <v>64</v>
      </c>
      <c r="G236" s="7"/>
    </row>
    <row r="237" spans="1:10">
      <c r="A237" s="14" t="s">
        <v>70</v>
      </c>
      <c r="B237" s="15" t="s">
        <v>10</v>
      </c>
      <c r="C237" s="464">
        <v>8.3333333333333329E-2</v>
      </c>
      <c r="D237" s="256">
        <v>45</v>
      </c>
      <c r="E237" s="16">
        <f t="shared" ref="E237:E239" si="8">C237*D237</f>
        <v>3.75</v>
      </c>
      <c r="F237" s="50"/>
      <c r="G237" s="7"/>
    </row>
    <row r="238" spans="1:10">
      <c r="A238" s="14" t="s">
        <v>27</v>
      </c>
      <c r="B238" s="15" t="s">
        <v>10</v>
      </c>
      <c r="C238" s="464">
        <v>8.3333333333333329E-2</v>
      </c>
      <c r="D238" s="256">
        <v>30</v>
      </c>
      <c r="E238" s="16">
        <f t="shared" si="8"/>
        <v>2.5</v>
      </c>
      <c r="F238" s="50"/>
      <c r="G238" s="7"/>
    </row>
    <row r="239" spans="1:10" ht="13.5" thickBot="1">
      <c r="A239" s="270" t="s">
        <v>490</v>
      </c>
      <c r="B239" s="15" t="s">
        <v>10</v>
      </c>
      <c r="C239" s="464">
        <v>8.3333333333333329E-2</v>
      </c>
      <c r="D239" s="256">
        <v>64</v>
      </c>
      <c r="E239" s="16">
        <f t="shared" si="8"/>
        <v>5.333333333333333</v>
      </c>
      <c r="F239" s="50"/>
      <c r="G239" s="7"/>
    </row>
    <row r="240" spans="1:10" ht="13.5" thickBot="1">
      <c r="A240" s="9"/>
      <c r="B240" s="9"/>
      <c r="C240" s="9"/>
      <c r="D240" s="9"/>
      <c r="E240" s="32"/>
      <c r="F240" s="19">
        <f>SUM(E237:E239)</f>
        <v>11.583333333333332</v>
      </c>
      <c r="G240" s="7"/>
    </row>
    <row r="241" spans="1:7" ht="11.25" customHeight="1" thickBot="1">
      <c r="G241" s="7"/>
    </row>
    <row r="242" spans="1:7" ht="13.5" thickBot="1">
      <c r="A242" s="22" t="s">
        <v>193</v>
      </c>
      <c r="B242" s="23"/>
      <c r="C242" s="23"/>
      <c r="D242" s="24"/>
      <c r="E242" s="25"/>
      <c r="F242" s="19">
        <f>+F240</f>
        <v>11.583333333333332</v>
      </c>
      <c r="G242" s="7"/>
    </row>
    <row r="243" spans="1:7" ht="11.25" customHeight="1">
      <c r="G243" s="7"/>
    </row>
    <row r="244" spans="1:7" ht="13.15" customHeight="1" thickBot="1">
      <c r="A244" s="9" t="s">
        <v>344</v>
      </c>
      <c r="B244" s="9"/>
      <c r="C244" s="9"/>
      <c r="D244" s="32"/>
      <c r="E244" s="32"/>
      <c r="F244" s="31"/>
      <c r="G244" s="7"/>
    </row>
    <row r="245" spans="1:7" ht="13.5" thickBot="1">
      <c r="A245" s="55" t="s">
        <v>61</v>
      </c>
      <c r="B245" s="56" t="s">
        <v>62</v>
      </c>
      <c r="C245" s="56" t="s">
        <v>39</v>
      </c>
      <c r="D245" s="57" t="s">
        <v>199</v>
      </c>
      <c r="E245" s="57" t="s">
        <v>63</v>
      </c>
      <c r="F245" s="58" t="s">
        <v>64</v>
      </c>
      <c r="G245" s="7"/>
    </row>
    <row r="246" spans="1:7" ht="13.9" customHeight="1">
      <c r="A246" s="270" t="s">
        <v>317</v>
      </c>
      <c r="B246" s="292" t="s">
        <v>10</v>
      </c>
      <c r="C246" s="90">
        <v>8.3333333333333329E-2</v>
      </c>
      <c r="D246" s="80">
        <v>150</v>
      </c>
      <c r="E246" s="16">
        <f t="shared" ref="E246" si="9">C246*D246</f>
        <v>12.5</v>
      </c>
      <c r="F246" s="50"/>
      <c r="G246" s="7"/>
    </row>
    <row r="247" spans="1:7" ht="13.9" customHeight="1">
      <c r="A247" s="270" t="s">
        <v>363</v>
      </c>
      <c r="B247" s="292" t="s">
        <v>10</v>
      </c>
      <c r="C247" s="299">
        <f>C98*2</f>
        <v>50</v>
      </c>
      <c r="D247" s="80">
        <v>5</v>
      </c>
      <c r="E247" s="16">
        <f t="shared" ref="E247" si="10">C247*D247</f>
        <v>250</v>
      </c>
      <c r="F247" s="50"/>
      <c r="G247" s="7"/>
    </row>
    <row r="248" spans="1:7" ht="13.9" customHeight="1" thickBot="1">
      <c r="A248" s="270" t="s">
        <v>466</v>
      </c>
      <c r="B248" s="49" t="s">
        <v>306</v>
      </c>
      <c r="C248" s="15">
        <f>C98*15</f>
        <v>375</v>
      </c>
      <c r="D248" s="82">
        <v>2.4</v>
      </c>
      <c r="E248" s="16">
        <f t="shared" ref="E248" si="11">+D248*C248</f>
        <v>900</v>
      </c>
      <c r="F248" s="50"/>
      <c r="G248" s="7"/>
    </row>
    <row r="249" spans="1:7" ht="13.9" customHeight="1" thickBot="1">
      <c r="A249" s="10"/>
      <c r="B249" s="10"/>
      <c r="C249" s="10"/>
      <c r="D249" s="110" t="s">
        <v>166</v>
      </c>
      <c r="E249" s="258">
        <v>1</v>
      </c>
      <c r="F249" s="19">
        <f>SUM(E246:E248)</f>
        <v>1162.5</v>
      </c>
      <c r="G249" s="7"/>
    </row>
    <row r="250" spans="1:7" ht="11.25" customHeight="1">
      <c r="G250" s="7"/>
    </row>
    <row r="251" spans="1:7" ht="13.5" thickBot="1">
      <c r="A251" s="9" t="s">
        <v>345</v>
      </c>
      <c r="B251" s="9"/>
      <c r="C251" s="9"/>
      <c r="D251" s="32"/>
      <c r="E251" s="32"/>
      <c r="F251" s="31"/>
    </row>
    <row r="252" spans="1:7" ht="13.5" thickBot="1">
      <c r="A252" s="55" t="s">
        <v>61</v>
      </c>
      <c r="B252" s="56" t="s">
        <v>62</v>
      </c>
      <c r="C252" s="56" t="s">
        <v>39</v>
      </c>
      <c r="D252" s="57" t="s">
        <v>199</v>
      </c>
      <c r="E252" s="57" t="s">
        <v>63</v>
      </c>
      <c r="F252" s="58" t="s">
        <v>64</v>
      </c>
    </row>
    <row r="253" spans="1:7">
      <c r="A253" s="270" t="s">
        <v>190</v>
      </c>
      <c r="B253" s="49" t="s">
        <v>56</v>
      </c>
      <c r="C253" s="64">
        <v>1</v>
      </c>
      <c r="D253" s="82">
        <v>650</v>
      </c>
      <c r="E253" s="16">
        <f>+D253*C253</f>
        <v>650</v>
      </c>
      <c r="F253" s="50"/>
    </row>
    <row r="254" spans="1:7">
      <c r="A254" s="14" t="s">
        <v>58</v>
      </c>
      <c r="B254" s="49" t="s">
        <v>8</v>
      </c>
      <c r="C254" s="15">
        <v>60</v>
      </c>
      <c r="D254" s="75">
        <f>SUM(E253:E253)</f>
        <v>650</v>
      </c>
      <c r="E254" s="75">
        <f>+D254/C254</f>
        <v>10.833333333333334</v>
      </c>
      <c r="F254" s="50"/>
    </row>
    <row r="255" spans="1:7">
      <c r="A255" s="14" t="s">
        <v>191</v>
      </c>
      <c r="B255" s="15" t="s">
        <v>10</v>
      </c>
      <c r="C255" s="64">
        <f>+C253</f>
        <v>1</v>
      </c>
      <c r="D255" s="82">
        <v>110</v>
      </c>
      <c r="E255" s="16">
        <f>C255*D255</f>
        <v>110</v>
      </c>
      <c r="F255" s="50"/>
    </row>
    <row r="256" spans="1:7" ht="13.5" thickBot="1">
      <c r="A256" s="14" t="s">
        <v>36</v>
      </c>
      <c r="B256" s="49" t="s">
        <v>8</v>
      </c>
      <c r="C256" s="15">
        <v>1</v>
      </c>
      <c r="D256" s="75">
        <f>+E255</f>
        <v>110</v>
      </c>
      <c r="E256" s="75">
        <f>+D256/C256</f>
        <v>110</v>
      </c>
      <c r="F256" s="50"/>
    </row>
    <row r="257" spans="1:7" ht="13.5" thickBot="1">
      <c r="A257" s="10"/>
      <c r="B257" s="10"/>
      <c r="C257" s="10"/>
      <c r="D257" s="110" t="s">
        <v>166</v>
      </c>
      <c r="E257" s="258">
        <f>E198</f>
        <v>1.0000090909090908</v>
      </c>
      <c r="F257" s="19">
        <f>(E254+E256)*E257</f>
        <v>120.83443181818181</v>
      </c>
    </row>
    <row r="258" spans="1:7" s="48" customFormat="1" ht="11.25" customHeight="1" thickBot="1">
      <c r="A258" s="7"/>
      <c r="B258" s="7"/>
      <c r="C258" s="7"/>
      <c r="D258" s="8"/>
      <c r="E258" s="8"/>
      <c r="F258" s="8"/>
      <c r="G258" s="77"/>
    </row>
    <row r="259" spans="1:7" ht="13.5" thickBot="1">
      <c r="A259" s="22" t="s">
        <v>189</v>
      </c>
      <c r="B259" s="23"/>
      <c r="C259" s="23"/>
      <c r="D259" s="24"/>
      <c r="E259" s="25"/>
      <c r="F259" s="19">
        <f>+F257</f>
        <v>120.83443181818181</v>
      </c>
    </row>
    <row r="260" spans="1:7" ht="11.25" customHeight="1" thickBot="1"/>
    <row r="261" spans="1:7" ht="17.25" customHeight="1" thickBot="1">
      <c r="A261" s="22" t="s">
        <v>194</v>
      </c>
      <c r="B261" s="26"/>
      <c r="C261" s="26"/>
      <c r="D261" s="27"/>
      <c r="E261" s="28"/>
      <c r="F261" s="20">
        <f>+F121+F154+F233+F242+F259+F249</f>
        <v>51018.040433601069</v>
      </c>
    </row>
    <row r="262" spans="1:7" ht="11.25" customHeight="1"/>
    <row r="263" spans="1:7" ht="13.5" thickBot="1">
      <c r="A263" s="9" t="s">
        <v>346</v>
      </c>
    </row>
    <row r="264" spans="1:7" ht="13.5" thickBot="1">
      <c r="A264" s="55" t="s">
        <v>61</v>
      </c>
      <c r="B264" s="56" t="s">
        <v>62</v>
      </c>
      <c r="C264" s="56" t="s">
        <v>39</v>
      </c>
      <c r="D264" s="57" t="s">
        <v>199</v>
      </c>
      <c r="E264" s="57" t="s">
        <v>63</v>
      </c>
      <c r="F264" s="58" t="s">
        <v>64</v>
      </c>
    </row>
    <row r="265" spans="1:7" ht="13.5" thickBot="1">
      <c r="A265" s="11" t="s">
        <v>35</v>
      </c>
      <c r="B265" s="12" t="s">
        <v>2</v>
      </c>
      <c r="C265" s="126">
        <f>'4.BDI'!C21*100</f>
        <v>29.110000000000003</v>
      </c>
      <c r="D265" s="13">
        <f>+F261</f>
        <v>51018.040433601069</v>
      </c>
      <c r="E265" s="13">
        <f>C265*D265/100</f>
        <v>14851.351570221272</v>
      </c>
    </row>
    <row r="266" spans="1:7" ht="13.5" thickBot="1">
      <c r="F266" s="19">
        <f>+E265</f>
        <v>14851.351570221272</v>
      </c>
    </row>
    <row r="267" spans="1:7" ht="11.25" customHeight="1" thickBot="1"/>
    <row r="268" spans="1:7" ht="13.5" thickBot="1">
      <c r="A268" s="22" t="s">
        <v>204</v>
      </c>
      <c r="B268" s="26"/>
      <c r="C268" s="26"/>
      <c r="D268" s="27"/>
      <c r="E268" s="28"/>
      <c r="F268" s="20">
        <f>F266</f>
        <v>14851.351570221272</v>
      </c>
    </row>
    <row r="269" spans="1:7" ht="13.5" thickBot="1">
      <c r="A269" s="9"/>
      <c r="B269" s="9"/>
      <c r="C269" s="9"/>
      <c r="D269" s="32"/>
      <c r="E269" s="32"/>
      <c r="F269" s="31"/>
    </row>
    <row r="270" spans="1:7" ht="24.75" customHeight="1" thickBot="1">
      <c r="A270" s="22" t="s">
        <v>195</v>
      </c>
      <c r="B270" s="26"/>
      <c r="C270" s="26"/>
      <c r="D270" s="27"/>
      <c r="E270" s="28"/>
      <c r="F270" s="20">
        <f>F261+F268</f>
        <v>65869.392003822344</v>
      </c>
    </row>
    <row r="271" spans="1:7" ht="12.6" customHeight="1">
      <c r="A271" s="51"/>
      <c r="B271" s="51"/>
      <c r="C271" s="51"/>
      <c r="D271" s="52"/>
      <c r="E271" s="52"/>
      <c r="F271" s="52"/>
    </row>
    <row r="272" spans="1:7" ht="14.25" hidden="1">
      <c r="A272" s="6"/>
      <c r="B272" s="6"/>
      <c r="C272" s="6"/>
      <c r="D272" s="33"/>
      <c r="E272" s="33"/>
    </row>
    <row r="273" spans="1:7" ht="16.149999999999999" hidden="1" customHeight="1">
      <c r="A273" s="211" t="s">
        <v>188</v>
      </c>
      <c r="B273" s="212"/>
      <c r="C273" s="212"/>
      <c r="D273" s="213"/>
      <c r="E273" s="214" t="s">
        <v>26</v>
      </c>
      <c r="G273" s="8" t="s">
        <v>175</v>
      </c>
    </row>
    <row r="274" spans="1:7" hidden="1"/>
    <row r="275" spans="1:7" ht="25.5" hidden="1" customHeight="1" thickBot="1">
      <c r="A275" s="22" t="s">
        <v>68</v>
      </c>
      <c r="B275" s="23"/>
      <c r="C275" s="23"/>
      <c r="D275" s="24"/>
      <c r="E275" s="215" t="s">
        <v>31</v>
      </c>
      <c r="F275" s="216" t="str">
        <f>IFERROR(F270/D273,"-")</f>
        <v>-</v>
      </c>
      <c r="G275" s="8" t="s">
        <v>175</v>
      </c>
    </row>
    <row r="276" spans="1:7" ht="12.6" hidden="1" customHeight="1">
      <c r="A276" s="9"/>
      <c r="B276" s="9"/>
      <c r="C276" s="9"/>
      <c r="D276" s="32"/>
      <c r="E276" s="32"/>
      <c r="F276" s="32"/>
    </row>
    <row r="277" spans="1:7" s="2" customFormat="1" ht="9.75" hidden="1" customHeight="1">
      <c r="A277" s="36"/>
      <c r="B277" s="8"/>
      <c r="C277" s="8"/>
      <c r="D277" s="8"/>
      <c r="E277" s="8"/>
      <c r="F277" s="8"/>
      <c r="G277" s="4"/>
    </row>
    <row r="278" spans="1:7" s="2" customFormat="1" ht="9.75" hidden="1" customHeight="1">
      <c r="A278" s="36"/>
      <c r="B278" s="8"/>
      <c r="C278" s="8"/>
      <c r="D278" s="8"/>
      <c r="E278" s="8"/>
      <c r="F278" s="8"/>
      <c r="G278" s="4"/>
    </row>
    <row r="279" spans="1:7" s="2" customFormat="1" ht="9.75" hidden="1" customHeight="1">
      <c r="A279" s="36"/>
      <c r="B279" s="8"/>
      <c r="C279" s="8"/>
      <c r="D279" s="8"/>
      <c r="E279" s="8"/>
      <c r="F279" s="8"/>
      <c r="G279" s="4"/>
    </row>
    <row r="280" spans="1:7">
      <c r="F280" s="41"/>
    </row>
    <row r="281" spans="1:7">
      <c r="F281" s="41"/>
    </row>
    <row r="309" s="7" customFormat="1" ht="9" customHeight="1"/>
  </sheetData>
  <mergeCells count="7">
    <mergeCell ref="A38:D38"/>
    <mergeCell ref="A15:C15"/>
    <mergeCell ref="A2:F2"/>
    <mergeCell ref="A3:F3"/>
    <mergeCell ref="A32:D32"/>
    <mergeCell ref="A5:F5"/>
    <mergeCell ref="A31:E31"/>
  </mergeCells>
  <phoneticPr fontId="41" type="noConversion"/>
  <hyperlinks>
    <hyperlink ref="A175" location="AbaRemun" display="3.1.2. Remuneração do Capital"/>
    <hyperlink ref="A158" location="AbaDeprec" display="3.1.1. Depreciação"/>
  </hyperlinks>
  <pageMargins left="0.9055118110236221" right="0.51181102362204722" top="0.74803149606299213" bottom="0.74803149606299213" header="0.31496062992125984" footer="0.31496062992125984"/>
  <pageSetup paperSize="9" scale="75" fitToHeight="4" orientation="portrait" r:id="rId1"/>
  <headerFooter alignWithMargins="0">
    <oddFooter>&amp;R&amp;P de &amp;N</oddFooter>
  </headerFooter>
  <rowBreaks count="2" manualBreakCount="2">
    <brk id="94" max="5" man="1"/>
    <brk id="17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9"/>
  <sheetViews>
    <sheetView view="pageBreakPreview" topLeftCell="A7" zoomScaleSheetLayoutView="100" workbookViewId="0">
      <selection activeCell="A10" sqref="A10"/>
    </sheetView>
  </sheetViews>
  <sheetFormatPr defaultColWidth="9.140625" defaultRowHeight="12.75"/>
  <cols>
    <col min="1" max="1" width="47.28515625" style="5" customWidth="1"/>
    <col min="2" max="2" width="16" style="5" bestFit="1" customWidth="1"/>
    <col min="3" max="3" width="11.85546875" style="5" customWidth="1"/>
    <col min="4" max="4" width="14.7109375" style="277" customWidth="1"/>
    <col min="5" max="5" width="15.42578125" style="277" customWidth="1"/>
    <col min="6" max="6" width="13.28515625" style="277" customWidth="1"/>
    <col min="7" max="7" width="28.140625" style="277" customWidth="1"/>
    <col min="8" max="8" width="9.140625" style="5"/>
    <col min="9" max="9" width="14.5703125" style="5" customWidth="1"/>
    <col min="10" max="10" width="13.42578125" style="5" customWidth="1"/>
    <col min="11" max="16384" width="9.140625" style="5"/>
  </cols>
  <sheetData>
    <row r="1" spans="1:7" hidden="1">
      <c r="A1" s="9" t="s">
        <v>173</v>
      </c>
    </row>
    <row r="2" spans="1:7" hidden="1">
      <c r="A2" s="238" t="s">
        <v>354</v>
      </c>
    </row>
    <row r="3" spans="1:7" s="2" customFormat="1" ht="15.6" hidden="1" customHeight="1">
      <c r="A3" s="5" t="s">
        <v>174</v>
      </c>
      <c r="C3" s="3"/>
      <c r="D3" s="3"/>
      <c r="E3" s="3"/>
      <c r="F3" s="3"/>
      <c r="G3" s="4"/>
    </row>
    <row r="4" spans="1:7" s="2" customFormat="1" ht="15.6" hidden="1" customHeight="1">
      <c r="A4" s="238" t="s">
        <v>355</v>
      </c>
      <c r="B4" s="3"/>
      <c r="C4" s="3"/>
      <c r="D4" s="3"/>
      <c r="E4" s="3"/>
      <c r="F4" s="3"/>
      <c r="G4" s="4"/>
    </row>
    <row r="5" spans="1:7" s="2" customFormat="1" ht="15.6" hidden="1" customHeight="1">
      <c r="A5" s="380"/>
      <c r="B5" s="381"/>
      <c r="C5" s="381"/>
      <c r="D5" s="381"/>
      <c r="E5" s="381"/>
      <c r="F5" s="3"/>
      <c r="G5" s="4"/>
    </row>
    <row r="6" spans="1:7" s="2" customFormat="1" ht="15.6" hidden="1" customHeight="1">
      <c r="A6" s="380"/>
      <c r="B6" s="381"/>
      <c r="C6" s="381"/>
      <c r="D6" s="381"/>
      <c r="E6" s="381"/>
      <c r="F6" s="3"/>
      <c r="G6" s="4"/>
    </row>
    <row r="7" spans="1:7" s="2" customFormat="1" ht="22.5" customHeight="1" thickBot="1">
      <c r="A7" s="133" t="s">
        <v>388</v>
      </c>
      <c r="B7" s="381"/>
      <c r="C7" s="381"/>
      <c r="D7" s="382"/>
      <c r="E7" s="382"/>
      <c r="F7" s="4"/>
      <c r="G7" s="4"/>
    </row>
    <row r="8" spans="1:7" s="6" customFormat="1" ht="18">
      <c r="A8" s="491" t="s">
        <v>467</v>
      </c>
      <c r="B8" s="492"/>
      <c r="C8" s="492"/>
      <c r="D8" s="492"/>
      <c r="E8" s="492"/>
      <c r="F8" s="493"/>
      <c r="G8" s="33"/>
    </row>
    <row r="9" spans="1:7" s="6" customFormat="1" ht="18.600000000000001" customHeight="1">
      <c r="A9" s="494" t="s">
        <v>42</v>
      </c>
      <c r="B9" s="495"/>
      <c r="C9" s="495"/>
      <c r="D9" s="495"/>
      <c r="E9" s="495"/>
      <c r="F9" s="496"/>
      <c r="G9" s="33"/>
    </row>
    <row r="10" spans="1:7" s="2" customFormat="1" ht="7.15" customHeight="1" thickBot="1">
      <c r="A10" s="134"/>
      <c r="B10" s="3"/>
      <c r="C10" s="3"/>
      <c r="D10" s="135"/>
      <c r="E10" s="135"/>
      <c r="F10" s="136"/>
      <c r="G10" s="4"/>
    </row>
    <row r="11" spans="1:7" s="2" customFormat="1" ht="15.75" customHeight="1" thickBot="1">
      <c r="A11" s="500" t="s">
        <v>172</v>
      </c>
      <c r="B11" s="501"/>
      <c r="C11" s="501"/>
      <c r="D11" s="501"/>
      <c r="E11" s="501"/>
      <c r="F11" s="502"/>
      <c r="G11" s="4"/>
    </row>
    <row r="12" spans="1:7" s="2" customFormat="1" ht="15.75" customHeight="1">
      <c r="A12" s="59" t="s">
        <v>171</v>
      </c>
      <c r="B12" s="37"/>
      <c r="C12" s="37"/>
      <c r="D12" s="220"/>
      <c r="E12" s="104" t="s">
        <v>37</v>
      </c>
      <c r="F12" s="38" t="s">
        <v>2</v>
      </c>
      <c r="G12" s="4"/>
    </row>
    <row r="13" spans="1:7" s="2" customFormat="1" ht="15.75" customHeight="1">
      <c r="A13" s="123" t="str">
        <f>A27</f>
        <v xml:space="preserve">1. Contentores </v>
      </c>
      <c r="B13" s="43"/>
      <c r="C13" s="44"/>
      <c r="D13" s="44"/>
      <c r="E13" s="217">
        <f>SUM(E14:E16)</f>
        <v>3206.6666666666665</v>
      </c>
      <c r="F13" s="115">
        <f>IFERROR(E13/$E$18,0)</f>
        <v>0.77453334366044457</v>
      </c>
      <c r="G13" s="4"/>
    </row>
    <row r="14" spans="1:7" s="2" customFormat="1" ht="15.75" hidden="1" customHeight="1">
      <c r="A14" s="60" t="str">
        <f>A29</f>
        <v>1.1.1. Depreciação</v>
      </c>
      <c r="B14" s="43"/>
      <c r="C14" s="44"/>
      <c r="D14" s="44"/>
      <c r="E14" s="218">
        <f>F43</f>
        <v>0</v>
      </c>
      <c r="F14" s="305">
        <f>IFERROR(E14/$E$18,0)</f>
        <v>0</v>
      </c>
      <c r="G14" s="4"/>
    </row>
    <row r="15" spans="1:7" s="2" customFormat="1" ht="15.75" hidden="1" customHeight="1">
      <c r="A15" s="60" t="str">
        <f>A45</f>
        <v>1.1.2. Remuneração do Capital</v>
      </c>
      <c r="B15" s="43"/>
      <c r="C15" s="44"/>
      <c r="D15" s="44"/>
      <c r="E15" s="218">
        <f>F59</f>
        <v>0</v>
      </c>
      <c r="F15" s="305">
        <f>IFERROR(E15/$E$18,0)</f>
        <v>0</v>
      </c>
      <c r="G15" s="4"/>
    </row>
    <row r="16" spans="1:7" s="2" customFormat="1" ht="15.75" customHeight="1">
      <c r="A16" s="60" t="str">
        <f>A87</f>
        <v xml:space="preserve">1.1.1 higienização dos contentores </v>
      </c>
      <c r="B16" s="43"/>
      <c r="C16" s="44"/>
      <c r="D16" s="44"/>
      <c r="E16" s="218">
        <f>F93</f>
        <v>3206.6666666666665</v>
      </c>
      <c r="F16" s="305">
        <f>IFERROR(E16/$E$18,0)</f>
        <v>0.77453334366044457</v>
      </c>
      <c r="G16" s="4"/>
    </row>
    <row r="17" spans="1:7" s="9" customFormat="1" ht="15.75" customHeight="1" thickBot="1">
      <c r="A17" s="123" t="str">
        <f>A97</f>
        <v>2. Benefícios e Despesas Indiretas - BDI</v>
      </c>
      <c r="B17" s="124"/>
      <c r="C17" s="114"/>
      <c r="D17" s="114"/>
      <c r="E17" s="219">
        <f>+F102</f>
        <v>933.46066666666661</v>
      </c>
      <c r="F17" s="115">
        <f>IFERROR(E17/$E$18,0)</f>
        <v>0.22546665633955543</v>
      </c>
      <c r="G17" s="41"/>
    </row>
    <row r="18" spans="1:7" s="2" customFormat="1" ht="15.75" customHeight="1" thickBot="1">
      <c r="A18" s="39" t="s">
        <v>468</v>
      </c>
      <c r="B18" s="40"/>
      <c r="C18" s="24"/>
      <c r="D18" s="24"/>
      <c r="E18" s="103">
        <f>E17+E13</f>
        <v>4140.1273333333329</v>
      </c>
      <c r="F18" s="128">
        <f>F13+F17</f>
        <v>1</v>
      </c>
      <c r="G18" s="4"/>
    </row>
    <row r="19" spans="1:7" ht="9" customHeight="1"/>
    <row r="20" spans="1:7" s="2" customFormat="1" ht="5.45" customHeight="1" thickBot="1">
      <c r="A20" s="116"/>
      <c r="B20" s="117"/>
      <c r="C20" s="309"/>
      <c r="D20" s="309"/>
      <c r="E20" s="310"/>
      <c r="F20" s="277"/>
      <c r="G20" s="4"/>
    </row>
    <row r="21" spans="1:7" s="2" customFormat="1" ht="15" customHeight="1">
      <c r="A21" s="504" t="s">
        <v>410</v>
      </c>
      <c r="B21" s="505"/>
      <c r="C21" s="505"/>
      <c r="D21" s="506"/>
      <c r="E21" s="45" t="s">
        <v>39</v>
      </c>
      <c r="F21" s="5"/>
      <c r="G21" s="4"/>
    </row>
    <row r="22" spans="1:7" s="2" customFormat="1" ht="15" customHeight="1">
      <c r="A22" s="306" t="str">
        <f>+A27</f>
        <v xml:space="preserve">1. Contentores </v>
      </c>
      <c r="B22" s="307"/>
      <c r="C22" s="307"/>
      <c r="D22" s="72"/>
      <c r="E22" s="308">
        <v>260</v>
      </c>
      <c r="F22" s="5"/>
      <c r="G22" s="4"/>
    </row>
    <row r="23" spans="1:7" s="2" customFormat="1" ht="15" customHeight="1" thickBot="1">
      <c r="A23" s="66" t="s">
        <v>411</v>
      </c>
      <c r="B23" s="67"/>
      <c r="C23" s="67"/>
      <c r="D23" s="73"/>
      <c r="E23" s="74">
        <f>SUM(E22)</f>
        <v>260</v>
      </c>
      <c r="F23" s="5"/>
      <c r="G23" s="4"/>
    </row>
    <row r="24" spans="1:7" s="2" customFormat="1" ht="8.4499999999999993" customHeight="1" thickBot="1">
      <c r="A24" s="309"/>
      <c r="B24" s="309"/>
      <c r="C24" s="309"/>
      <c r="D24" s="5"/>
      <c r="E24" s="311"/>
      <c r="F24" s="5"/>
      <c r="G24" s="4"/>
    </row>
    <row r="25" spans="1:7" s="9" customFormat="1" ht="15.75" customHeight="1" thickBot="1">
      <c r="A25" s="221" t="s">
        <v>167</v>
      </c>
      <c r="B25" s="383">
        <v>1</v>
      </c>
      <c r="C25" s="32"/>
      <c r="E25" s="137"/>
      <c r="G25" s="41"/>
    </row>
    <row r="26" spans="1:7">
      <c r="A26" s="9"/>
      <c r="B26" s="9"/>
      <c r="C26" s="9"/>
      <c r="D26" s="32"/>
      <c r="E26" s="32"/>
      <c r="F26" s="31"/>
      <c r="G26" s="5"/>
    </row>
    <row r="27" spans="1:7">
      <c r="A27" s="9" t="s">
        <v>412</v>
      </c>
      <c r="G27" s="5"/>
    </row>
    <row r="28" spans="1:7" hidden="1">
      <c r="G28" s="5"/>
    </row>
    <row r="29" spans="1:7" ht="13.5" hidden="1" thickBot="1">
      <c r="A29" s="96" t="s">
        <v>413</v>
      </c>
      <c r="G29" s="5"/>
    </row>
    <row r="30" spans="1:7" ht="13.5" hidden="1" thickBot="1">
      <c r="A30" s="55" t="s">
        <v>61</v>
      </c>
      <c r="B30" s="56" t="s">
        <v>62</v>
      </c>
      <c r="C30" s="56" t="s">
        <v>39</v>
      </c>
      <c r="D30" s="57" t="s">
        <v>199</v>
      </c>
      <c r="E30" s="57" t="s">
        <v>63</v>
      </c>
      <c r="F30" s="58" t="s">
        <v>64</v>
      </c>
      <c r="G30" s="5"/>
    </row>
    <row r="31" spans="1:7" hidden="1">
      <c r="A31" s="254" t="s">
        <v>414</v>
      </c>
      <c r="B31" s="384" t="s">
        <v>10</v>
      </c>
      <c r="C31" s="384">
        <v>1</v>
      </c>
      <c r="D31" s="256">
        <v>1406.84</v>
      </c>
      <c r="E31" s="312">
        <f>C31*D31</f>
        <v>1406.84</v>
      </c>
      <c r="G31" s="5"/>
    </row>
    <row r="32" spans="1:7" hidden="1">
      <c r="A32" s="270" t="s">
        <v>415</v>
      </c>
      <c r="B32" s="292" t="s">
        <v>98</v>
      </c>
      <c r="C32" s="292">
        <v>5</v>
      </c>
      <c r="D32" s="313"/>
      <c r="E32" s="278"/>
      <c r="G32" s="5"/>
    </row>
    <row r="33" spans="1:7" hidden="1">
      <c r="A33" s="270" t="s">
        <v>416</v>
      </c>
      <c r="B33" s="292" t="s">
        <v>98</v>
      </c>
      <c r="C33" s="385">
        <v>0</v>
      </c>
      <c r="D33" s="313"/>
      <c r="E33" s="278"/>
      <c r="F33" s="317"/>
      <c r="G33" s="5"/>
    </row>
    <row r="34" spans="1:7" hidden="1">
      <c r="A34" s="270" t="s">
        <v>417</v>
      </c>
      <c r="B34" s="292" t="s">
        <v>2</v>
      </c>
      <c r="C34" s="313">
        <v>100</v>
      </c>
      <c r="D34" s="313">
        <f>E31</f>
        <v>1406.84</v>
      </c>
      <c r="E34" s="278">
        <f>C34*D34/100</f>
        <v>1406.84</v>
      </c>
      <c r="G34" s="5"/>
    </row>
    <row r="35" spans="1:7" ht="13.5" hidden="1" thickBot="1">
      <c r="A35" s="234" t="s">
        <v>418</v>
      </c>
      <c r="B35" s="235" t="s">
        <v>8</v>
      </c>
      <c r="C35" s="235">
        <f>C32*12</f>
        <v>60</v>
      </c>
      <c r="D35" s="237">
        <f>IF(C33&lt;=C32,E34,0)</f>
        <v>1406.84</v>
      </c>
      <c r="E35" s="236">
        <f>IFERROR(D35/C35,0)</f>
        <v>23.447333333333333</v>
      </c>
      <c r="G35" s="5"/>
    </row>
    <row r="36" spans="1:7" ht="13.5" hidden="1" thickTop="1">
      <c r="A36" s="254" t="s">
        <v>311</v>
      </c>
      <c r="B36" s="384" t="s">
        <v>10</v>
      </c>
      <c r="C36" s="384"/>
      <c r="D36" s="320">
        <v>40000</v>
      </c>
      <c r="E36" s="312">
        <f>C36*D36</f>
        <v>0</v>
      </c>
      <c r="G36" s="5"/>
    </row>
    <row r="37" spans="1:7" ht="13.5" hidden="1" thickTop="1">
      <c r="A37" s="270" t="s">
        <v>419</v>
      </c>
      <c r="B37" s="292" t="s">
        <v>98</v>
      </c>
      <c r="C37" s="292">
        <v>5</v>
      </c>
      <c r="D37" s="313"/>
      <c r="E37" s="278"/>
      <c r="G37" s="5"/>
    </row>
    <row r="38" spans="1:7" ht="13.5" hidden="1" thickTop="1">
      <c r="A38" s="270" t="s">
        <v>420</v>
      </c>
      <c r="B38" s="292" t="s">
        <v>98</v>
      </c>
      <c r="C38" s="292">
        <v>3</v>
      </c>
      <c r="D38" s="313"/>
      <c r="E38" s="278"/>
      <c r="F38" s="317"/>
      <c r="G38" s="5"/>
    </row>
    <row r="39" spans="1:7" ht="13.5" hidden="1" thickTop="1">
      <c r="A39" s="270" t="s">
        <v>421</v>
      </c>
      <c r="B39" s="292" t="s">
        <v>2</v>
      </c>
      <c r="C39" s="386">
        <v>0</v>
      </c>
      <c r="D39" s="313">
        <f>E36</f>
        <v>0</v>
      </c>
      <c r="E39" s="278">
        <f>C39*D39/100</f>
        <v>0</v>
      </c>
      <c r="G39" s="5"/>
    </row>
    <row r="40" spans="1:7" ht="13.5" hidden="1" thickTop="1">
      <c r="A40" s="92" t="s">
        <v>422</v>
      </c>
      <c r="B40" s="93" t="s">
        <v>8</v>
      </c>
      <c r="C40" s="93">
        <f>C37*12</f>
        <v>60</v>
      </c>
      <c r="D40" s="102">
        <f>IF(C38&lt;=C37,E39,0)</f>
        <v>0</v>
      </c>
      <c r="E40" s="94">
        <f>IFERROR(D40/C40,0)</f>
        <v>0</v>
      </c>
      <c r="G40" s="5"/>
    </row>
    <row r="41" spans="1:7" ht="13.5" hidden="1" thickTop="1">
      <c r="A41" s="105" t="s">
        <v>216</v>
      </c>
      <c r="B41" s="106"/>
      <c r="C41" s="106"/>
      <c r="D41" s="387"/>
      <c r="E41" s="108">
        <f>E35+E40</f>
        <v>23.447333333333333</v>
      </c>
      <c r="G41" s="5"/>
    </row>
    <row r="42" spans="1:7" ht="14.25" hidden="1" thickTop="1" thickBot="1">
      <c r="A42" s="92" t="s">
        <v>423</v>
      </c>
      <c r="B42" s="93" t="s">
        <v>10</v>
      </c>
      <c r="C42" s="388">
        <v>0</v>
      </c>
      <c r="D42" s="102">
        <f>E41</f>
        <v>23.447333333333333</v>
      </c>
      <c r="E42" s="108">
        <f>C42*D42</f>
        <v>0</v>
      </c>
      <c r="G42" s="5"/>
    </row>
    <row r="43" spans="1:7" ht="13.5" hidden="1" thickBot="1">
      <c r="A43" s="232"/>
      <c r="B43" s="232"/>
      <c r="C43" s="232"/>
      <c r="D43" s="279" t="s">
        <v>166</v>
      </c>
      <c r="E43" s="280">
        <f>$B$25</f>
        <v>1</v>
      </c>
      <c r="F43" s="19">
        <f>E42*E43</f>
        <v>0</v>
      </c>
      <c r="G43" s="5"/>
    </row>
    <row r="44" spans="1:7" hidden="1">
      <c r="G44" s="5"/>
    </row>
    <row r="45" spans="1:7" ht="13.5" hidden="1" thickBot="1">
      <c r="A45" s="96" t="s">
        <v>424</v>
      </c>
      <c r="G45" s="5"/>
    </row>
    <row r="46" spans="1:7" ht="13.5" hidden="1" thickBot="1">
      <c r="A46" s="98" t="s">
        <v>61</v>
      </c>
      <c r="B46" s="99" t="s">
        <v>62</v>
      </c>
      <c r="C46" s="99" t="s">
        <v>39</v>
      </c>
      <c r="D46" s="57" t="s">
        <v>199</v>
      </c>
      <c r="E46" s="100" t="s">
        <v>63</v>
      </c>
      <c r="F46" s="58" t="s">
        <v>64</v>
      </c>
      <c r="G46" s="5"/>
    </row>
    <row r="47" spans="1:7" hidden="1">
      <c r="A47" s="270" t="s">
        <v>425</v>
      </c>
      <c r="B47" s="292" t="s">
        <v>10</v>
      </c>
      <c r="C47" s="384">
        <v>1</v>
      </c>
      <c r="D47" s="278">
        <f>D31</f>
        <v>1406.84</v>
      </c>
      <c r="E47" s="278">
        <f>C47*D47</f>
        <v>1406.84</v>
      </c>
      <c r="F47" s="317"/>
      <c r="G47" s="5"/>
    </row>
    <row r="48" spans="1:7" hidden="1">
      <c r="A48" s="270" t="s">
        <v>180</v>
      </c>
      <c r="B48" s="292" t="s">
        <v>2</v>
      </c>
      <c r="C48" s="385">
        <v>6.25</v>
      </c>
      <c r="D48" s="278"/>
      <c r="E48" s="278"/>
      <c r="F48" s="317"/>
      <c r="G48" s="5"/>
    </row>
    <row r="49" spans="1:7" hidden="1">
      <c r="A49" s="270" t="s">
        <v>426</v>
      </c>
      <c r="B49" s="292" t="s">
        <v>32</v>
      </c>
      <c r="C49" s="389">
        <f>IFERROR(IF(C33&lt;=C32,E31-(C34/(100*C32)*C33)*E31,E31-E34),0)</f>
        <v>1406.84</v>
      </c>
      <c r="D49" s="278"/>
      <c r="E49" s="278"/>
      <c r="F49" s="317"/>
      <c r="G49" s="5"/>
    </row>
    <row r="50" spans="1:7" hidden="1">
      <c r="A50" s="270" t="s">
        <v>427</v>
      </c>
      <c r="B50" s="292" t="s">
        <v>32</v>
      </c>
      <c r="C50" s="313">
        <f>D47</f>
        <v>1406.84</v>
      </c>
      <c r="D50" s="278"/>
      <c r="E50" s="278"/>
      <c r="F50" s="317"/>
      <c r="G50" s="5"/>
    </row>
    <row r="51" spans="1:7" ht="13.5" hidden="1" thickBot="1">
      <c r="A51" s="234" t="s">
        <v>428</v>
      </c>
      <c r="B51" s="235" t="s">
        <v>32</v>
      </c>
      <c r="C51" s="235"/>
      <c r="D51" s="237">
        <f>C48*C50/12/100</f>
        <v>7.3272916666666665</v>
      </c>
      <c r="E51" s="236">
        <f>D51</f>
        <v>7.3272916666666665</v>
      </c>
      <c r="F51" s="317"/>
      <c r="G51" s="5"/>
    </row>
    <row r="52" spans="1:7" ht="13.5" hidden="1" thickTop="1">
      <c r="A52" s="254" t="s">
        <v>429</v>
      </c>
      <c r="B52" s="384" t="s">
        <v>10</v>
      </c>
      <c r="C52" s="384"/>
      <c r="D52" s="312"/>
      <c r="E52" s="312">
        <f>C52*D52</f>
        <v>0</v>
      </c>
      <c r="F52" s="317"/>
      <c r="G52" s="5"/>
    </row>
    <row r="53" spans="1:7" ht="13.5" hidden="1" thickTop="1">
      <c r="A53" s="270" t="s">
        <v>180</v>
      </c>
      <c r="B53" s="292" t="s">
        <v>2</v>
      </c>
      <c r="C53" s="292"/>
      <c r="D53" s="278"/>
      <c r="E53" s="278"/>
      <c r="F53" s="317"/>
      <c r="G53" s="5"/>
    </row>
    <row r="54" spans="1:7" ht="13.5" hidden="1" thickTop="1">
      <c r="A54" s="270" t="s">
        <v>179</v>
      </c>
      <c r="B54" s="292" t="s">
        <v>32</v>
      </c>
      <c r="C54" s="389">
        <f>IFERROR(IF(C38&lt;=C37,E36-(C39/(100*C37)*C38)*E36,E36-E39),0)</f>
        <v>0</v>
      </c>
      <c r="D54" s="278"/>
      <c r="E54" s="278"/>
      <c r="F54" s="317"/>
      <c r="G54" s="5"/>
    </row>
    <row r="55" spans="1:7" ht="13.5" hidden="1" thickTop="1">
      <c r="A55" s="270" t="s">
        <v>430</v>
      </c>
      <c r="B55" s="292" t="s">
        <v>32</v>
      </c>
      <c r="C55" s="313">
        <f>IFERROR(IF(C38&gt;=C37,C54,((((C54)-(E36-E39))*(((C37-C38)+1)/(2*(C37-C38))))+(E36-E39))),0)</f>
        <v>0</v>
      </c>
      <c r="D55" s="278"/>
      <c r="E55" s="278"/>
      <c r="F55" s="317"/>
      <c r="G55" s="5"/>
    </row>
    <row r="56" spans="1:7" ht="13.5" hidden="1" thickTop="1">
      <c r="A56" s="92" t="s">
        <v>431</v>
      </c>
      <c r="B56" s="93" t="s">
        <v>32</v>
      </c>
      <c r="C56" s="93"/>
      <c r="D56" s="102">
        <f>C53*C55/12/100</f>
        <v>0</v>
      </c>
      <c r="E56" s="94">
        <f>D56</f>
        <v>0</v>
      </c>
      <c r="F56" s="317"/>
      <c r="G56" s="5"/>
    </row>
    <row r="57" spans="1:7" ht="13.5" hidden="1" thickTop="1">
      <c r="A57" s="105" t="s">
        <v>216</v>
      </c>
      <c r="B57" s="106"/>
      <c r="C57" s="106"/>
      <c r="D57" s="107"/>
      <c r="E57" s="108">
        <f>E51+E56</f>
        <v>7.3272916666666665</v>
      </c>
      <c r="F57" s="317"/>
      <c r="G57" s="5"/>
    </row>
    <row r="58" spans="1:7" ht="14.25" hidden="1" thickTop="1" thickBot="1">
      <c r="A58" s="92" t="s">
        <v>423</v>
      </c>
      <c r="B58" s="93" t="s">
        <v>10</v>
      </c>
      <c r="C58" s="292">
        <f>C42</f>
        <v>0</v>
      </c>
      <c r="D58" s="94">
        <f>E57</f>
        <v>7.3272916666666665</v>
      </c>
      <c r="E58" s="108">
        <f>C58*D58</f>
        <v>0</v>
      </c>
      <c r="F58" s="317"/>
      <c r="G58" s="5"/>
    </row>
    <row r="59" spans="1:7" ht="13.5" hidden="1" thickBot="1">
      <c r="C59" s="390"/>
      <c r="D59" s="279" t="s">
        <v>166</v>
      </c>
      <c r="E59" s="280">
        <f>$B$25</f>
        <v>1</v>
      </c>
      <c r="F59" s="19">
        <f>E58*E59</f>
        <v>0</v>
      </c>
      <c r="G59" s="5"/>
    </row>
    <row r="60" spans="1:7" hidden="1">
      <c r="G60" s="5"/>
    </row>
    <row r="61" spans="1:7" hidden="1">
      <c r="A61" s="5" t="s">
        <v>50</v>
      </c>
      <c r="G61" s="5"/>
    </row>
    <row r="62" spans="1:7" ht="13.5" hidden="1" thickBot="1">
      <c r="A62" s="55" t="s">
        <v>61</v>
      </c>
      <c r="B62" s="56" t="s">
        <v>62</v>
      </c>
      <c r="C62" s="56" t="s">
        <v>39</v>
      </c>
      <c r="D62" s="57" t="s">
        <v>199</v>
      </c>
      <c r="E62" s="57" t="s">
        <v>63</v>
      </c>
      <c r="F62" s="58" t="s">
        <v>64</v>
      </c>
      <c r="G62" s="5"/>
    </row>
    <row r="63" spans="1:7" hidden="1">
      <c r="A63" s="254" t="s">
        <v>11</v>
      </c>
      <c r="B63" s="384" t="s">
        <v>10</v>
      </c>
      <c r="C63" s="312"/>
      <c r="D63" s="312" t="e">
        <f>0.01*(#REF!)</f>
        <v>#REF!</v>
      </c>
      <c r="E63" s="312" t="e">
        <f>C63*D63</f>
        <v>#REF!</v>
      </c>
      <c r="G63" s="5"/>
    </row>
    <row r="64" spans="1:7" hidden="1">
      <c r="A64" s="270" t="s">
        <v>165</v>
      </c>
      <c r="B64" s="292" t="s">
        <v>10</v>
      </c>
      <c r="C64" s="312"/>
      <c r="D64" s="282">
        <v>150</v>
      </c>
      <c r="E64" s="278">
        <f>C64*D64</f>
        <v>0</v>
      </c>
      <c r="G64" s="5"/>
    </row>
    <row r="65" spans="1:7" hidden="1">
      <c r="A65" s="270" t="s">
        <v>12</v>
      </c>
      <c r="B65" s="292" t="s">
        <v>10</v>
      </c>
      <c r="C65" s="312"/>
      <c r="D65" s="282">
        <v>2200</v>
      </c>
      <c r="E65" s="278">
        <f>C65*D65</f>
        <v>0</v>
      </c>
      <c r="F65" s="29"/>
      <c r="G65" s="5"/>
    </row>
    <row r="66" spans="1:7" hidden="1">
      <c r="A66" s="92" t="s">
        <v>13</v>
      </c>
      <c r="B66" s="93" t="s">
        <v>8</v>
      </c>
      <c r="C66" s="93">
        <v>12</v>
      </c>
      <c r="D66" s="94" t="e">
        <f>SUM(E63:E65)</f>
        <v>#REF!</v>
      </c>
      <c r="E66" s="94" t="e">
        <f>D66/C66</f>
        <v>#REF!</v>
      </c>
      <c r="G66" s="5"/>
    </row>
    <row r="67" spans="1:7" ht="13.5" hidden="1" thickBot="1">
      <c r="D67" s="279" t="s">
        <v>166</v>
      </c>
      <c r="E67" s="280">
        <f>$B$25</f>
        <v>1</v>
      </c>
      <c r="F67" s="111" t="e">
        <f>E66*E67</f>
        <v>#REF!</v>
      </c>
      <c r="G67" s="5"/>
    </row>
    <row r="68" spans="1:7" hidden="1">
      <c r="G68" s="5"/>
    </row>
    <row r="69" spans="1:7" hidden="1">
      <c r="A69" s="5" t="s">
        <v>51</v>
      </c>
      <c r="B69" s="391"/>
      <c r="G69" s="5"/>
    </row>
    <row r="70" spans="1:7" hidden="1">
      <c r="B70" s="391"/>
      <c r="G70" s="5"/>
    </row>
    <row r="71" spans="1:7" hidden="1">
      <c r="A71" s="92" t="s">
        <v>109</v>
      </c>
      <c r="B71" s="392"/>
      <c r="G71" s="5"/>
    </row>
    <row r="72" spans="1:7" hidden="1">
      <c r="B72" s="391"/>
      <c r="G72" s="5"/>
    </row>
    <row r="73" spans="1:7" ht="13.5" hidden="1" thickBot="1">
      <c r="A73" s="55" t="s">
        <v>61</v>
      </c>
      <c r="B73" s="56" t="s">
        <v>62</v>
      </c>
      <c r="C73" s="56" t="s">
        <v>215</v>
      </c>
      <c r="D73" s="57" t="s">
        <v>199</v>
      </c>
      <c r="E73" s="57" t="s">
        <v>63</v>
      </c>
      <c r="F73" s="58" t="s">
        <v>64</v>
      </c>
      <c r="G73" s="5"/>
    </row>
    <row r="74" spans="1:7" hidden="1">
      <c r="A74" s="254" t="s">
        <v>14</v>
      </c>
      <c r="B74" s="384" t="s">
        <v>15</v>
      </c>
      <c r="C74" s="393">
        <v>2.2000000000000002</v>
      </c>
      <c r="D74" s="318">
        <v>3.71</v>
      </c>
      <c r="E74" s="312"/>
      <c r="G74" s="5"/>
    </row>
    <row r="75" spans="1:7" hidden="1">
      <c r="A75" s="270" t="s">
        <v>16</v>
      </c>
      <c r="B75" s="292" t="s">
        <v>17</v>
      </c>
      <c r="C75" s="281">
        <f>B71</f>
        <v>0</v>
      </c>
      <c r="D75" s="319">
        <f>IFERROR(+D74/C74,"-")</f>
        <v>1.6863636363636363</v>
      </c>
      <c r="E75" s="278">
        <f>IFERROR(C75*D75,"-")</f>
        <v>0</v>
      </c>
      <c r="G75" s="5"/>
    </row>
    <row r="76" spans="1:7" hidden="1">
      <c r="A76" s="270" t="s">
        <v>200</v>
      </c>
      <c r="B76" s="292" t="s">
        <v>18</v>
      </c>
      <c r="C76" s="300">
        <v>6</v>
      </c>
      <c r="D76" s="282">
        <v>13</v>
      </c>
      <c r="E76" s="278"/>
      <c r="G76" s="5"/>
    </row>
    <row r="77" spans="1:7" hidden="1">
      <c r="A77" s="270" t="s">
        <v>19</v>
      </c>
      <c r="B77" s="292" t="s">
        <v>17</v>
      </c>
      <c r="C77" s="281">
        <f>C75</f>
        <v>0</v>
      </c>
      <c r="D77" s="283">
        <f>+C76*D76/1000</f>
        <v>7.8E-2</v>
      </c>
      <c r="E77" s="278">
        <f>C77*D77</f>
        <v>0</v>
      </c>
      <c r="G77" s="5"/>
    </row>
    <row r="78" spans="1:7" hidden="1">
      <c r="A78" s="270" t="s">
        <v>201</v>
      </c>
      <c r="B78" s="292" t="s">
        <v>18</v>
      </c>
      <c r="C78" s="300">
        <v>0.85</v>
      </c>
      <c r="D78" s="282">
        <v>15.8</v>
      </c>
      <c r="E78" s="278"/>
      <c r="G78" s="5"/>
    </row>
    <row r="79" spans="1:7" hidden="1">
      <c r="A79" s="270" t="s">
        <v>20</v>
      </c>
      <c r="B79" s="292" t="s">
        <v>17</v>
      </c>
      <c r="C79" s="281">
        <f>C75</f>
        <v>0</v>
      </c>
      <c r="D79" s="283">
        <f>+C78*D78/1000</f>
        <v>1.3429999999999999E-2</v>
      </c>
      <c r="E79" s="278">
        <f>C79*D79</f>
        <v>0</v>
      </c>
      <c r="G79" s="5"/>
    </row>
    <row r="80" spans="1:7" hidden="1">
      <c r="A80" s="270" t="s">
        <v>202</v>
      </c>
      <c r="B80" s="292" t="s">
        <v>18</v>
      </c>
      <c r="C80" s="300">
        <v>16</v>
      </c>
      <c r="D80" s="282">
        <v>8.25</v>
      </c>
      <c r="E80" s="278"/>
      <c r="G80" s="5"/>
    </row>
    <row r="81" spans="1:10" hidden="1">
      <c r="A81" s="270" t="s">
        <v>21</v>
      </c>
      <c r="B81" s="292" t="s">
        <v>17</v>
      </c>
      <c r="C81" s="281">
        <f>C75</f>
        <v>0</v>
      </c>
      <c r="D81" s="283">
        <f>+C80*D80/1000</f>
        <v>0.13200000000000001</v>
      </c>
      <c r="E81" s="278">
        <f>C81*D81</f>
        <v>0</v>
      </c>
      <c r="G81" s="5"/>
    </row>
    <row r="82" spans="1:10" hidden="1">
      <c r="A82" s="270" t="s">
        <v>22</v>
      </c>
      <c r="B82" s="292" t="s">
        <v>23</v>
      </c>
      <c r="C82" s="300">
        <v>2</v>
      </c>
      <c r="D82" s="282">
        <v>5.4</v>
      </c>
      <c r="E82" s="278"/>
      <c r="G82" s="5"/>
    </row>
    <row r="83" spans="1:10" hidden="1">
      <c r="A83" s="270" t="s">
        <v>24</v>
      </c>
      <c r="B83" s="292" t="s">
        <v>17</v>
      </c>
      <c r="C83" s="281">
        <f>C75</f>
        <v>0</v>
      </c>
      <c r="D83" s="283">
        <f>+C82*D82/1000</f>
        <v>1.0800000000000001E-2</v>
      </c>
      <c r="E83" s="278">
        <f>C83*D83</f>
        <v>0</v>
      </c>
      <c r="G83" s="5"/>
    </row>
    <row r="84" spans="1:10" hidden="1">
      <c r="A84" s="92" t="s">
        <v>214</v>
      </c>
      <c r="B84" s="93" t="s">
        <v>110</v>
      </c>
      <c r="C84" s="230"/>
      <c r="D84" s="231">
        <f>IFERROR(D75+D77+D79+D81+D83,0)</f>
        <v>1.9205936363636364</v>
      </c>
      <c r="E84" s="278"/>
      <c r="G84" s="5"/>
    </row>
    <row r="85" spans="1:10" ht="13.5" hidden="1" thickBot="1">
      <c r="F85" s="19">
        <f>SUM(E74:E83)</f>
        <v>0</v>
      </c>
      <c r="G85" s="5"/>
    </row>
    <row r="86" spans="1:10" hidden="1">
      <c r="G86" s="5"/>
    </row>
    <row r="87" spans="1:10" ht="13.5" thickBot="1">
      <c r="A87" s="5" t="s">
        <v>482</v>
      </c>
      <c r="G87" s="5"/>
    </row>
    <row r="88" spans="1:10" ht="13.5" thickBot="1">
      <c r="A88" s="55" t="s">
        <v>61</v>
      </c>
      <c r="B88" s="56" t="s">
        <v>62</v>
      </c>
      <c r="C88" s="56" t="s">
        <v>39</v>
      </c>
      <c r="D88" s="57" t="s">
        <v>199</v>
      </c>
      <c r="E88" s="57" t="s">
        <v>63</v>
      </c>
      <c r="F88" s="58" t="s">
        <v>64</v>
      </c>
      <c r="G88" s="5"/>
    </row>
    <row r="89" spans="1:10">
      <c r="A89" s="254" t="s">
        <v>439</v>
      </c>
      <c r="B89" s="384" t="s">
        <v>62</v>
      </c>
      <c r="C89" s="292">
        <v>260</v>
      </c>
      <c r="D89" s="256">
        <v>37</v>
      </c>
      <c r="E89" s="312">
        <f>C89*D89</f>
        <v>9620</v>
      </c>
      <c r="G89" s="5"/>
    </row>
    <row r="90" spans="1:10" ht="13.5" thickBot="1">
      <c r="A90" s="254" t="s">
        <v>483</v>
      </c>
      <c r="B90" s="384" t="s">
        <v>2</v>
      </c>
      <c r="C90" s="278">
        <f>33.333334</f>
        <v>33.333334000000001</v>
      </c>
      <c r="D90" s="320">
        <f>E89</f>
        <v>9620</v>
      </c>
      <c r="E90" s="312">
        <f>D90/3</f>
        <v>3206.6666666666665</v>
      </c>
      <c r="G90" s="5"/>
    </row>
    <row r="91" spans="1:10" hidden="1">
      <c r="A91" s="254" t="s">
        <v>432</v>
      </c>
      <c r="B91" s="384" t="s">
        <v>62</v>
      </c>
      <c r="C91" s="292">
        <v>0</v>
      </c>
      <c r="D91" s="256">
        <v>25</v>
      </c>
      <c r="E91" s="312">
        <f>D91*C91</f>
        <v>0</v>
      </c>
      <c r="G91" s="5"/>
    </row>
    <row r="92" spans="1:10" ht="13.5" hidden="1" thickBot="1">
      <c r="A92" s="254" t="s">
        <v>433</v>
      </c>
      <c r="B92" s="384" t="s">
        <v>8</v>
      </c>
      <c r="C92" s="292">
        <v>1</v>
      </c>
      <c r="D92" s="320">
        <f>E91</f>
        <v>0</v>
      </c>
      <c r="E92" s="312">
        <f>C92*D92</f>
        <v>0</v>
      </c>
      <c r="G92" s="5"/>
    </row>
    <row r="93" spans="1:10" ht="13.5" thickBot="1">
      <c r="F93" s="19">
        <f>SUM(E90+E92)</f>
        <v>3206.6666666666665</v>
      </c>
      <c r="G93" s="5"/>
    </row>
    <row r="94" spans="1:10" s="277" customFormat="1" ht="11.25" customHeight="1" thickBot="1">
      <c r="A94" s="5"/>
      <c r="B94" s="5"/>
      <c r="C94" s="5"/>
      <c r="H94" s="5"/>
      <c r="I94" s="5"/>
      <c r="J94" s="5"/>
    </row>
    <row r="95" spans="1:10" s="277" customFormat="1" ht="17.25" customHeight="1" thickBot="1">
      <c r="A95" s="22" t="s">
        <v>194</v>
      </c>
      <c r="B95" s="394"/>
      <c r="C95" s="394"/>
      <c r="D95" s="315"/>
      <c r="E95" s="316"/>
      <c r="F95" s="20">
        <f>F43+F59+F93</f>
        <v>3206.6666666666665</v>
      </c>
      <c r="H95" s="5"/>
      <c r="I95" s="5"/>
      <c r="J95" s="5"/>
    </row>
    <row r="96" spans="1:10" s="277" customFormat="1" ht="11.25" customHeight="1">
      <c r="A96" s="5"/>
      <c r="B96" s="5"/>
      <c r="C96" s="5"/>
      <c r="H96" s="5"/>
      <c r="I96" s="5"/>
      <c r="J96" s="5"/>
    </row>
    <row r="97" spans="1:10" s="277" customFormat="1" ht="13.5" thickBot="1">
      <c r="A97" s="9" t="s">
        <v>368</v>
      </c>
      <c r="B97" s="5"/>
      <c r="C97" s="5"/>
      <c r="H97" s="5"/>
      <c r="I97" s="5"/>
      <c r="J97" s="5"/>
    </row>
    <row r="98" spans="1:10" s="277" customFormat="1" ht="13.5" thickBot="1">
      <c r="A98" s="55" t="s">
        <v>61</v>
      </c>
      <c r="B98" s="56" t="s">
        <v>62</v>
      </c>
      <c r="C98" s="56" t="s">
        <v>39</v>
      </c>
      <c r="D98" s="57" t="s">
        <v>199</v>
      </c>
      <c r="E98" s="57" t="s">
        <v>63</v>
      </c>
      <c r="F98" s="58" t="s">
        <v>64</v>
      </c>
      <c r="H98" s="5"/>
      <c r="I98" s="5"/>
      <c r="J98" s="5"/>
    </row>
    <row r="99" spans="1:10" s="277" customFormat="1" ht="13.5" thickBot="1">
      <c r="A99" s="254" t="s">
        <v>35</v>
      </c>
      <c r="B99" s="384" t="s">
        <v>2</v>
      </c>
      <c r="C99" s="314">
        <f>'4.BDI'!C21*100</f>
        <v>29.110000000000003</v>
      </c>
      <c r="D99" s="312">
        <f>+F95</f>
        <v>3206.6666666666665</v>
      </c>
      <c r="E99" s="312">
        <f>C99*D99/100</f>
        <v>933.46066666666661</v>
      </c>
      <c r="H99" s="5"/>
      <c r="I99" s="5"/>
      <c r="J99" s="5"/>
    </row>
    <row r="100" spans="1:10" s="277" customFormat="1" ht="13.5" thickBot="1">
      <c r="A100" s="5"/>
      <c r="B100" s="5"/>
      <c r="C100" s="5"/>
      <c r="F100" s="19">
        <f>+E99</f>
        <v>933.46066666666661</v>
      </c>
      <c r="H100" s="5"/>
      <c r="I100" s="5"/>
      <c r="J100" s="5"/>
    </row>
    <row r="101" spans="1:10" s="277" customFormat="1" ht="11.25" customHeight="1" thickBot="1">
      <c r="A101" s="5"/>
      <c r="B101" s="5"/>
      <c r="C101" s="5"/>
      <c r="H101" s="5"/>
      <c r="I101" s="5"/>
      <c r="J101" s="5"/>
    </row>
    <row r="102" spans="1:10" s="277" customFormat="1" ht="13.5" thickBot="1">
      <c r="A102" s="22" t="s">
        <v>204</v>
      </c>
      <c r="B102" s="394"/>
      <c r="C102" s="394"/>
      <c r="D102" s="315"/>
      <c r="E102" s="316"/>
      <c r="F102" s="20">
        <f>F100</f>
        <v>933.46066666666661</v>
      </c>
      <c r="H102" s="5"/>
      <c r="I102" s="5"/>
      <c r="J102" s="5"/>
    </row>
    <row r="103" spans="1:10" s="277" customFormat="1" ht="13.5" thickBot="1">
      <c r="A103" s="9"/>
      <c r="B103" s="9"/>
      <c r="C103" s="9"/>
      <c r="D103" s="32"/>
      <c r="E103" s="32"/>
      <c r="F103" s="31"/>
      <c r="H103" s="5"/>
      <c r="I103" s="5"/>
      <c r="J103" s="5"/>
    </row>
    <row r="104" spans="1:10" s="277" customFormat="1" ht="11.25" hidden="1" customHeight="1" thickBot="1">
      <c r="A104" s="5"/>
      <c r="B104" s="5"/>
      <c r="C104" s="5"/>
      <c r="H104" s="5"/>
      <c r="I104" s="5"/>
      <c r="J104" s="5"/>
    </row>
    <row r="105" spans="1:10" s="277" customFormat="1" ht="24.75" customHeight="1" thickBot="1">
      <c r="A105" s="22" t="s">
        <v>195</v>
      </c>
      <c r="B105" s="394"/>
      <c r="C105" s="394"/>
      <c r="D105" s="315"/>
      <c r="E105" s="316"/>
      <c r="F105" s="20">
        <f>F95+F102</f>
        <v>4140.1273333333329</v>
      </c>
      <c r="H105" s="5"/>
      <c r="I105" s="5"/>
      <c r="J105" s="5"/>
    </row>
    <row r="106" spans="1:10" s="277" customFormat="1" ht="12.6" hidden="1" customHeight="1" thickBot="1">
      <c r="A106" s="395"/>
      <c r="B106" s="396"/>
      <c r="C106" s="396"/>
      <c r="D106" s="397"/>
      <c r="E106" s="397"/>
      <c r="F106" s="398"/>
      <c r="H106" s="5"/>
      <c r="I106" s="5"/>
      <c r="J106" s="5"/>
    </row>
    <row r="107" spans="1:10" s="277" customFormat="1" ht="15" hidden="1" thickBot="1">
      <c r="A107" s="399"/>
      <c r="B107" s="399"/>
      <c r="C107" s="399"/>
      <c r="D107" s="400"/>
      <c r="E107" s="400"/>
      <c r="F107" s="401"/>
      <c r="H107" s="5"/>
      <c r="I107" s="5"/>
      <c r="J107" s="5"/>
    </row>
    <row r="108" spans="1:10" ht="16.149999999999999" hidden="1" customHeight="1">
      <c r="A108" s="402" t="s">
        <v>434</v>
      </c>
      <c r="B108" s="403"/>
      <c r="C108" s="403"/>
      <c r="D108" s="404">
        <v>60</v>
      </c>
      <c r="E108" s="405" t="s">
        <v>435</v>
      </c>
      <c r="F108" s="401"/>
      <c r="G108" s="277" t="s">
        <v>175</v>
      </c>
    </row>
    <row r="109" spans="1:10" ht="13.5" hidden="1" thickBot="1">
      <c r="A109" s="380"/>
      <c r="B109" s="380"/>
      <c r="C109" s="380"/>
      <c r="D109" s="401"/>
      <c r="E109" s="401"/>
      <c r="F109" s="401"/>
    </row>
    <row r="110" spans="1:10" ht="25.5" hidden="1" customHeight="1" thickBot="1">
      <c r="A110" s="406" t="s">
        <v>436</v>
      </c>
      <c r="B110" s="407"/>
      <c r="C110" s="407"/>
      <c r="D110" s="408"/>
      <c r="E110" s="409" t="s">
        <v>437</v>
      </c>
      <c r="F110" s="410">
        <f>IFERROR(F105/D108,"-")</f>
        <v>69.002122222222212</v>
      </c>
      <c r="G110" s="277" t="s">
        <v>175</v>
      </c>
    </row>
    <row r="111" spans="1:10" ht="12.6" hidden="1" customHeight="1">
      <c r="A111" s="411"/>
      <c r="B111" s="411"/>
      <c r="C111" s="411"/>
      <c r="D111" s="412"/>
      <c r="E111" s="412"/>
      <c r="F111" s="412"/>
    </row>
    <row r="112" spans="1:10" ht="13.5" hidden="1" thickBot="1">
      <c r="A112" s="413"/>
      <c r="B112" s="380"/>
      <c r="C112" s="380"/>
      <c r="D112" s="401"/>
      <c r="E112" s="401"/>
      <c r="F112" s="401"/>
    </row>
    <row r="113" spans="1:6" ht="15.75" hidden="1" thickBot="1">
      <c r="A113" s="414" t="s">
        <v>438</v>
      </c>
      <c r="B113" s="415"/>
      <c r="C113" s="415"/>
      <c r="D113" s="416"/>
      <c r="E113" s="416"/>
      <c r="F113" s="417">
        <f>F105/260</f>
        <v>15.923566666666664</v>
      </c>
    </row>
    <row r="114" spans="1:6" ht="15">
      <c r="A114" s="507"/>
      <c r="B114" s="507"/>
      <c r="C114" s="507"/>
      <c r="D114" s="507"/>
      <c r="E114" s="507"/>
      <c r="F114" s="507"/>
    </row>
    <row r="115" spans="1:6" ht="15">
      <c r="A115" s="418"/>
      <c r="B115" s="508"/>
      <c r="C115" s="508"/>
      <c r="D115" s="508"/>
      <c r="E115" s="419"/>
      <c r="F115" s="419"/>
    </row>
    <row r="116" spans="1:6" ht="15">
      <c r="A116" s="418"/>
      <c r="B116" s="503"/>
      <c r="C116" s="503"/>
      <c r="D116" s="503"/>
      <c r="E116" s="401"/>
      <c r="F116" s="365"/>
    </row>
    <row r="117" spans="1:6">
      <c r="A117" s="420"/>
      <c r="B117" s="380"/>
      <c r="C117" s="380"/>
      <c r="D117" s="401"/>
      <c r="E117" s="401"/>
      <c r="F117" s="401"/>
    </row>
    <row r="139" s="5" customFormat="1" ht="9" customHeight="1"/>
  </sheetData>
  <mergeCells count="7">
    <mergeCell ref="B116:D116"/>
    <mergeCell ref="A8:F8"/>
    <mergeCell ref="A9:F9"/>
    <mergeCell ref="A11:F11"/>
    <mergeCell ref="A21:D21"/>
    <mergeCell ref="A114:F114"/>
    <mergeCell ref="B115:D115"/>
  </mergeCells>
  <hyperlinks>
    <hyperlink ref="A45" location="AbaRemun" display="3.1.2. Remuneração do Capital"/>
    <hyperlink ref="A29" location="AbaDeprec" display="3.1.1. Depreciação"/>
  </hyperlinks>
  <pageMargins left="0.9055118110236221" right="0.51181102362204722" top="0.43" bottom="0.63" header="0.31496062992125984" footer="0.31496062992125984"/>
  <pageSetup paperSize="9" scale="75" fitToHeight="0" orientation="portrait" r:id="rId1"/>
  <headerFooter alignWithMargins="0">
    <oddFooter>&amp;R&amp;P de &amp;N</oddFooter>
  </headerFooter>
  <rowBreaks count="1" manualBreakCount="1">
    <brk id="113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9"/>
  <sheetViews>
    <sheetView workbookViewId="0">
      <selection activeCell="A10" sqref="A10"/>
    </sheetView>
  </sheetViews>
  <sheetFormatPr defaultColWidth="9.140625" defaultRowHeight="12.75"/>
  <cols>
    <col min="1" max="1" width="13.5703125" style="1" customWidth="1"/>
    <col min="2" max="2" width="39.5703125" style="1" bestFit="1" customWidth="1"/>
    <col min="3" max="3" width="20.85546875" style="1" customWidth="1"/>
    <col min="4" max="4" width="37.28515625" style="1" customWidth="1"/>
    <col min="5" max="10" width="9.140625" style="1"/>
    <col min="11" max="11" width="11" style="1" bestFit="1" customWidth="1"/>
    <col min="12" max="16384" width="9.140625" style="1"/>
  </cols>
  <sheetData>
    <row r="1" spans="1:7">
      <c r="A1" s="9" t="s">
        <v>173</v>
      </c>
    </row>
    <row r="2" spans="1:7" s="2" customFormat="1" ht="15.6" customHeight="1">
      <c r="B2" s="3"/>
      <c r="C2" s="3"/>
      <c r="D2" s="3"/>
      <c r="E2" s="3"/>
      <c r="F2" s="3"/>
      <c r="G2" s="4"/>
    </row>
    <row r="3" spans="1:7" s="2" customFormat="1" ht="15.6" hidden="1" customHeight="1">
      <c r="A3" s="253" t="s">
        <v>247</v>
      </c>
      <c r="B3" s="3"/>
      <c r="C3" s="3"/>
      <c r="D3" s="3"/>
      <c r="E3" s="3"/>
      <c r="F3" s="3"/>
      <c r="G3" s="4"/>
    </row>
    <row r="4" spans="1:7" s="2" customFormat="1" ht="16.5" customHeight="1">
      <c r="A4" s="275" t="s">
        <v>261</v>
      </c>
      <c r="B4" s="3"/>
      <c r="C4" s="3"/>
      <c r="D4" s="4"/>
      <c r="E4" s="4"/>
      <c r="F4" s="4"/>
      <c r="G4" s="4"/>
    </row>
    <row r="5" spans="1:7" s="2" customFormat="1" ht="16.5" customHeight="1">
      <c r="A5" s="275" t="s">
        <v>262</v>
      </c>
      <c r="B5" s="3"/>
      <c r="C5" s="3"/>
      <c r="D5" s="4"/>
      <c r="E5" s="4"/>
      <c r="F5" s="4"/>
      <c r="G5" s="4"/>
    </row>
    <row r="6" spans="1:7" ht="13.5" thickBot="1"/>
    <row r="7" spans="1:7" ht="18">
      <c r="A7" s="509" t="s">
        <v>326</v>
      </c>
      <c r="B7" s="510"/>
      <c r="C7" s="511"/>
      <c r="D7" s="133"/>
      <c r="E7" s="133"/>
      <c r="F7" s="133"/>
    </row>
    <row r="8" spans="1:7" ht="14.25">
      <c r="A8" s="142" t="s">
        <v>112</v>
      </c>
      <c r="B8" s="143" t="s">
        <v>113</v>
      </c>
      <c r="C8" s="144" t="s">
        <v>114</v>
      </c>
      <c r="D8" s="145"/>
    </row>
    <row r="9" spans="1:7" ht="14.25">
      <c r="A9" s="142" t="s">
        <v>115</v>
      </c>
      <c r="B9" s="143" t="s">
        <v>40</v>
      </c>
      <c r="C9" s="146">
        <v>0.2</v>
      </c>
      <c r="D9" s="145"/>
    </row>
    <row r="10" spans="1:7" ht="14.25">
      <c r="A10" s="142" t="s">
        <v>116</v>
      </c>
      <c r="B10" s="143" t="s">
        <v>117</v>
      </c>
      <c r="C10" s="146">
        <v>1.4999999999999999E-2</v>
      </c>
      <c r="D10" s="145"/>
    </row>
    <row r="11" spans="1:7" ht="14.25">
      <c r="A11" s="142" t="s">
        <v>118</v>
      </c>
      <c r="B11" s="143" t="s">
        <v>119</v>
      </c>
      <c r="C11" s="146">
        <v>0.01</v>
      </c>
      <c r="D11" s="145"/>
    </row>
    <row r="12" spans="1:7" ht="14.25">
      <c r="A12" s="142" t="s">
        <v>120</v>
      </c>
      <c r="B12" s="143" t="s">
        <v>121</v>
      </c>
      <c r="C12" s="146">
        <v>2E-3</v>
      </c>
      <c r="D12" s="145"/>
    </row>
    <row r="13" spans="1:7" ht="14.25">
      <c r="A13" s="142" t="s">
        <v>122</v>
      </c>
      <c r="B13" s="143" t="s">
        <v>123</v>
      </c>
      <c r="C13" s="146">
        <v>6.0000000000000001E-3</v>
      </c>
      <c r="D13" s="145"/>
    </row>
    <row r="14" spans="1:7" ht="14.25">
      <c r="A14" s="142" t="s">
        <v>124</v>
      </c>
      <c r="B14" s="143" t="s">
        <v>125</v>
      </c>
      <c r="C14" s="146">
        <v>2.5000000000000001E-2</v>
      </c>
      <c r="D14" s="145"/>
    </row>
    <row r="15" spans="1:7" ht="14.25">
      <c r="A15" s="142" t="s">
        <v>126</v>
      </c>
      <c r="B15" s="143" t="s">
        <v>127</v>
      </c>
      <c r="C15" s="146">
        <v>0.03</v>
      </c>
      <c r="D15" s="145"/>
    </row>
    <row r="16" spans="1:7" ht="14.25">
      <c r="A16" s="142" t="s">
        <v>128</v>
      </c>
      <c r="B16" s="143" t="s">
        <v>41</v>
      </c>
      <c r="C16" s="146">
        <v>0.08</v>
      </c>
      <c r="D16" s="145"/>
    </row>
    <row r="17" spans="1:8" ht="15">
      <c r="A17" s="142" t="s">
        <v>129</v>
      </c>
      <c r="B17" s="147" t="s">
        <v>130</v>
      </c>
      <c r="C17" s="148">
        <f>SUM(C9:C16)</f>
        <v>0.36800000000000005</v>
      </c>
      <c r="D17" s="145"/>
    </row>
    <row r="18" spans="1:8" ht="15">
      <c r="A18" s="149"/>
      <c r="B18" s="150"/>
      <c r="C18" s="151"/>
      <c r="D18" s="145"/>
    </row>
    <row r="19" spans="1:8" ht="14.25">
      <c r="A19" s="142" t="s">
        <v>131</v>
      </c>
      <c r="B19" s="152" t="s">
        <v>132</v>
      </c>
      <c r="C19" s="146">
        <v>6.5699999999999995E-2</v>
      </c>
      <c r="D19" s="145"/>
    </row>
    <row r="20" spans="1:8" ht="14.25">
      <c r="A20" s="142" t="s">
        <v>133</v>
      </c>
      <c r="B20" s="152" t="s">
        <v>134</v>
      </c>
      <c r="C20" s="146">
        <v>8.3299999999999999E-2</v>
      </c>
      <c r="D20" s="145"/>
    </row>
    <row r="21" spans="1:8" ht="14.25">
      <c r="A21" s="142" t="s">
        <v>187</v>
      </c>
      <c r="B21" s="152" t="s">
        <v>136</v>
      </c>
      <c r="C21" s="146">
        <v>5.9999999999999995E-4</v>
      </c>
      <c r="D21" s="145"/>
    </row>
    <row r="22" spans="1:8" ht="14.25">
      <c r="A22" s="142" t="s">
        <v>135</v>
      </c>
      <c r="B22" s="152" t="s">
        <v>138</v>
      </c>
      <c r="C22" s="146">
        <v>8.2000000000000007E-3</v>
      </c>
      <c r="D22" s="145"/>
    </row>
    <row r="23" spans="1:8" ht="14.25">
      <c r="A23" s="142" t="s">
        <v>137</v>
      </c>
      <c r="B23" s="152" t="s">
        <v>140</v>
      </c>
      <c r="C23" s="146">
        <v>3.0999999999999999E-3</v>
      </c>
      <c r="D23" s="145"/>
    </row>
    <row r="24" spans="1:8" ht="14.25">
      <c r="A24" s="142" t="s">
        <v>139</v>
      </c>
      <c r="B24" s="152" t="s">
        <v>141</v>
      </c>
      <c r="C24" s="146">
        <v>1.66E-2</v>
      </c>
      <c r="D24" s="145"/>
    </row>
    <row r="25" spans="1:8" ht="15">
      <c r="A25" s="142" t="s">
        <v>142</v>
      </c>
      <c r="B25" s="147" t="s">
        <v>143</v>
      </c>
      <c r="C25" s="148">
        <f>SUM(C19:C24)</f>
        <v>0.17749999999999999</v>
      </c>
      <c r="D25" s="153"/>
    </row>
    <row r="26" spans="1:8" ht="15">
      <c r="A26" s="149"/>
      <c r="B26" s="150"/>
      <c r="C26" s="151"/>
      <c r="D26" s="153"/>
    </row>
    <row r="27" spans="1:8" ht="14.25">
      <c r="A27" s="142" t="s">
        <v>144</v>
      </c>
      <c r="B27" s="143" t="s">
        <v>145</v>
      </c>
      <c r="C27" s="146">
        <v>2.9000000000000001E-2</v>
      </c>
      <c r="D27" s="145"/>
      <c r="E27" s="154"/>
    </row>
    <row r="28" spans="1:8" ht="14.25">
      <c r="A28" s="142" t="s">
        <v>186</v>
      </c>
      <c r="B28" s="143" t="s">
        <v>147</v>
      </c>
      <c r="C28" s="146">
        <v>4.5400000000000003E-2</v>
      </c>
      <c r="D28" s="145"/>
      <c r="H28" s="155"/>
    </row>
    <row r="29" spans="1:8" ht="14.25">
      <c r="A29" s="142" t="s">
        <v>146</v>
      </c>
      <c r="B29" s="143" t="s">
        <v>149</v>
      </c>
      <c r="C29" s="146">
        <f>C27*C28</f>
        <v>1.3166000000000002E-3</v>
      </c>
      <c r="D29" s="145"/>
      <c r="E29" s="154"/>
    </row>
    <row r="30" spans="1:8" ht="14.25">
      <c r="A30" s="142" t="s">
        <v>148</v>
      </c>
      <c r="B30" s="143" t="s">
        <v>151</v>
      </c>
      <c r="C30" s="146">
        <v>3.15E-2</v>
      </c>
      <c r="D30" s="145"/>
      <c r="G30" s="154"/>
    </row>
    <row r="31" spans="1:8" ht="14.25">
      <c r="A31" s="142" t="s">
        <v>150</v>
      </c>
      <c r="B31" s="143" t="s">
        <v>152</v>
      </c>
      <c r="C31" s="146">
        <v>2E-3</v>
      </c>
      <c r="D31" s="145"/>
    </row>
    <row r="32" spans="1:8" ht="15">
      <c r="A32" s="142" t="s">
        <v>153</v>
      </c>
      <c r="B32" s="147" t="s">
        <v>154</v>
      </c>
      <c r="C32" s="148">
        <f>SUM(C27:C31)</f>
        <v>0.10921660000000001</v>
      </c>
      <c r="D32" s="153"/>
    </row>
    <row r="33" spans="1:4" ht="15">
      <c r="A33" s="149"/>
      <c r="B33" s="150"/>
      <c r="C33" s="151"/>
      <c r="D33" s="153"/>
    </row>
    <row r="34" spans="1:4" ht="14.25">
      <c r="A34" s="142" t="s">
        <v>155</v>
      </c>
      <c r="B34" s="143" t="s">
        <v>156</v>
      </c>
      <c r="C34" s="146">
        <f>ROUND(C17*C25,4)</f>
        <v>6.5299999999999997E-2</v>
      </c>
      <c r="D34" s="145"/>
    </row>
    <row r="35" spans="1:4" ht="28.5">
      <c r="A35" s="142" t="s">
        <v>157</v>
      </c>
      <c r="B35" s="156" t="s">
        <v>244</v>
      </c>
      <c r="C35" s="146">
        <f>ROUND((C27*C16),4)</f>
        <v>2.3E-3</v>
      </c>
      <c r="D35" s="145"/>
    </row>
    <row r="36" spans="1:4" ht="15">
      <c r="A36" s="142" t="s">
        <v>158</v>
      </c>
      <c r="B36" s="147" t="s">
        <v>159</v>
      </c>
      <c r="C36" s="148">
        <f>SUM(C34:C35)</f>
        <v>6.7599999999999993E-2</v>
      </c>
      <c r="D36" s="153"/>
    </row>
    <row r="37" spans="1:4" ht="15.75" thickBot="1">
      <c r="A37" s="157"/>
      <c r="B37" s="158" t="s">
        <v>160</v>
      </c>
      <c r="C37" s="159">
        <f>C36+C32+C25+C17</f>
        <v>0.72231660000000009</v>
      </c>
      <c r="D37" s="153"/>
    </row>
    <row r="38" spans="1:4" ht="15">
      <c r="A38" s="145"/>
      <c r="B38" s="160"/>
      <c r="C38" s="161"/>
      <c r="D38" s="162"/>
    </row>
    <row r="39" spans="1:4" ht="14.25">
      <c r="A39" s="145"/>
      <c r="B39" s="145"/>
      <c r="C39" s="163"/>
      <c r="D39" s="164"/>
    </row>
    <row r="40" spans="1:4" ht="14.25">
      <c r="A40" s="145"/>
      <c r="B40" s="145"/>
      <c r="C40" s="163"/>
      <c r="D40" s="145"/>
    </row>
    <row r="41" spans="1:4" ht="14.25">
      <c r="A41" s="145"/>
      <c r="B41" s="145"/>
      <c r="C41" s="163"/>
      <c r="D41" s="145"/>
    </row>
    <row r="42" spans="1:4" ht="14.25">
      <c r="A42" s="145"/>
      <c r="B42" s="145"/>
      <c r="C42" s="163"/>
      <c r="D42" s="145"/>
    </row>
    <row r="43" spans="1:4" ht="15">
      <c r="A43" s="145"/>
      <c r="B43" s="160"/>
      <c r="C43" s="161"/>
      <c r="D43" s="145"/>
    </row>
    <row r="44" spans="1:4" ht="15">
      <c r="A44" s="153"/>
      <c r="B44" s="160"/>
      <c r="C44" s="161"/>
      <c r="D44" s="153"/>
    </row>
    <row r="45" spans="1:4" ht="16.5">
      <c r="A45" s="165"/>
    </row>
    <row r="46" spans="1:4">
      <c r="A46" s="166"/>
      <c r="B46" s="167"/>
      <c r="C46" s="167"/>
    </row>
    <row r="47" spans="1:4" ht="14.25">
      <c r="A47" s="145"/>
      <c r="B47" s="168"/>
      <c r="C47" s="167"/>
    </row>
    <row r="48" spans="1:4" ht="14.25">
      <c r="A48" s="145"/>
      <c r="B48" s="168"/>
      <c r="C48" s="145"/>
    </row>
    <row r="49" spans="1:3" ht="14.25">
      <c r="A49" s="145"/>
      <c r="B49" s="163"/>
      <c r="C49" s="167"/>
    </row>
    <row r="50" spans="1:3" ht="14.25">
      <c r="A50" s="145"/>
      <c r="B50" s="168"/>
      <c r="C50" s="145"/>
    </row>
    <row r="51" spans="1:3" ht="14.25">
      <c r="A51" s="145"/>
      <c r="B51" s="163"/>
      <c r="C51" s="167"/>
    </row>
    <row r="52" spans="1:3" ht="14.25">
      <c r="A52" s="145"/>
      <c r="B52" s="168"/>
      <c r="C52" s="145"/>
    </row>
    <row r="53" spans="1:3" ht="14.25">
      <c r="A53" s="145"/>
      <c r="B53" s="163"/>
      <c r="C53" s="167"/>
    </row>
    <row r="54" spans="1:3" ht="14.25">
      <c r="A54" s="145"/>
      <c r="B54" s="168"/>
      <c r="C54" s="145"/>
    </row>
    <row r="55" spans="1:3" ht="14.25">
      <c r="A55" s="145"/>
      <c r="B55" s="163"/>
      <c r="C55" s="167"/>
    </row>
    <row r="56" spans="1:3" ht="16.5">
      <c r="A56" s="165"/>
    </row>
    <row r="59" spans="1:3">
      <c r="A59" s="169"/>
    </row>
  </sheetData>
  <mergeCells count="1">
    <mergeCell ref="A7:C7"/>
  </mergeCells>
  <pageMargins left="0.90551181102362199" right="0.5118110236220472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5"/>
  <sheetViews>
    <sheetView topLeftCell="A4" workbookViewId="0">
      <selection activeCell="A10" sqref="A10"/>
    </sheetView>
  </sheetViews>
  <sheetFormatPr defaultRowHeight="12.75"/>
  <cols>
    <col min="1" max="1" width="41.85546875" bestFit="1" customWidth="1"/>
    <col min="2" max="2" width="5.5703125" bestFit="1" customWidth="1"/>
    <col min="4" max="4" width="9.7109375" bestFit="1" customWidth="1"/>
    <col min="5" max="5" width="8" style="109" bestFit="1" customWidth="1"/>
    <col min="6" max="6" width="9.7109375" bestFit="1" customWidth="1"/>
  </cols>
  <sheetData>
    <row r="1" spans="1:8" s="130" customFormat="1" ht="14.25">
      <c r="A1" s="9" t="s">
        <v>173</v>
      </c>
      <c r="B1" s="6"/>
      <c r="C1" s="6"/>
      <c r="E1" s="131"/>
    </row>
    <row r="2" spans="1:8" s="130" customFormat="1" ht="14.25">
      <c r="A2" s="125" t="s">
        <v>206</v>
      </c>
      <c r="B2" s="6"/>
      <c r="C2" s="6"/>
      <c r="E2" s="131"/>
    </row>
    <row r="3" spans="1:8" s="130" customFormat="1" ht="14.25">
      <c r="A3" s="7" t="s">
        <v>174</v>
      </c>
      <c r="B3" s="6"/>
      <c r="C3" s="6"/>
      <c r="E3" s="131"/>
    </row>
    <row r="4" spans="1:8" s="130" customFormat="1" ht="14.25">
      <c r="A4" s="7"/>
      <c r="B4" s="6"/>
      <c r="C4" s="6"/>
      <c r="E4" s="131"/>
    </row>
    <row r="5" spans="1:8" s="2" customFormat="1" ht="15.6" hidden="1" customHeight="1">
      <c r="A5" s="253" t="s">
        <v>247</v>
      </c>
      <c r="B5" s="3"/>
      <c r="C5" s="3"/>
      <c r="D5" s="3"/>
      <c r="E5" s="3"/>
      <c r="F5" s="3"/>
      <c r="G5" s="4"/>
    </row>
    <row r="6" spans="1:8" s="2" customFormat="1" ht="16.5" customHeight="1">
      <c r="A6" s="275" t="s">
        <v>259</v>
      </c>
      <c r="B6" s="3"/>
      <c r="C6" s="3"/>
      <c r="D6" s="4"/>
      <c r="E6" s="4"/>
      <c r="F6" s="4"/>
      <c r="G6" s="4"/>
    </row>
    <row r="7" spans="1:8" s="2" customFormat="1" ht="16.5" customHeight="1">
      <c r="A7" s="275" t="s">
        <v>260</v>
      </c>
      <c r="B7" s="3"/>
      <c r="C7" s="3"/>
      <c r="D7" s="4"/>
      <c r="E7" s="4"/>
      <c r="F7" s="4"/>
      <c r="G7" s="4"/>
    </row>
    <row r="8" spans="1:8" s="130" customFormat="1" ht="15" thickBot="1">
      <c r="B8" s="6"/>
      <c r="C8" s="6"/>
      <c r="E8" s="131"/>
    </row>
    <row r="9" spans="1:8" ht="15.75">
      <c r="A9" s="517" t="s">
        <v>327</v>
      </c>
      <c r="B9" s="518"/>
      <c r="C9" s="518"/>
      <c r="D9" s="518"/>
      <c r="E9" s="518"/>
      <c r="F9" s="519"/>
    </row>
    <row r="10" spans="1:8" ht="16.5" thickBot="1">
      <c r="A10" s="222"/>
      <c r="B10" s="223"/>
      <c r="C10" s="223"/>
      <c r="D10" s="223"/>
      <c r="E10" s="223"/>
      <c r="F10" s="224"/>
    </row>
    <row r="11" spans="1:8" ht="15">
      <c r="A11" s="173"/>
      <c r="B11" s="6"/>
      <c r="C11" s="6"/>
      <c r="D11" s="514" t="s">
        <v>205</v>
      </c>
      <c r="E11" s="515"/>
      <c r="F11" s="516"/>
      <c r="G11" s="130"/>
      <c r="H11" s="130"/>
    </row>
    <row r="12" spans="1:8" ht="15" thickBot="1">
      <c r="A12" s="172"/>
      <c r="B12" s="130"/>
      <c r="C12" s="130"/>
      <c r="D12" s="174" t="s">
        <v>161</v>
      </c>
      <c r="E12" s="175" t="s">
        <v>162</v>
      </c>
      <c r="F12" s="176" t="s">
        <v>163</v>
      </c>
      <c r="G12" s="130"/>
      <c r="H12" s="130"/>
    </row>
    <row r="13" spans="1:8" ht="14.25">
      <c r="A13" s="177" t="s">
        <v>73</v>
      </c>
      <c r="B13" s="178" t="s">
        <v>74</v>
      </c>
      <c r="C13" s="179">
        <v>0.06</v>
      </c>
      <c r="D13" s="200">
        <v>2.9700000000000001E-2</v>
      </c>
      <c r="E13" s="201">
        <v>5.0799999999999998E-2</v>
      </c>
      <c r="F13" s="202">
        <v>6.2700000000000006E-2</v>
      </c>
      <c r="G13" s="130"/>
      <c r="H13" s="130"/>
    </row>
    <row r="14" spans="1:8" ht="14.25">
      <c r="A14" s="181" t="s">
        <v>75</v>
      </c>
      <c r="B14" s="182" t="s">
        <v>76</v>
      </c>
      <c r="C14" s="183">
        <v>1.3299999999999999E-2</v>
      </c>
      <c r="D14" s="200">
        <f>0.3%+0.56%</f>
        <v>8.6E-3</v>
      </c>
      <c r="E14" s="201">
        <f>0.48%+0.85%</f>
        <v>1.3299999999999999E-2</v>
      </c>
      <c r="F14" s="202">
        <f>0.82%+0.89%</f>
        <v>1.7099999999999997E-2</v>
      </c>
      <c r="G14" s="130"/>
      <c r="H14" s="130"/>
    </row>
    <row r="15" spans="1:8" ht="14.25">
      <c r="A15" s="181" t="s">
        <v>77</v>
      </c>
      <c r="B15" s="182" t="s">
        <v>78</v>
      </c>
      <c r="C15" s="183">
        <v>0.12</v>
      </c>
      <c r="D15" s="200">
        <v>7.7799999999999994E-2</v>
      </c>
      <c r="E15" s="201">
        <v>0.1085</v>
      </c>
      <c r="F15" s="202">
        <v>0.13550000000000001</v>
      </c>
      <c r="G15" s="130"/>
      <c r="H15" s="130"/>
    </row>
    <row r="16" spans="1:8" ht="14.25">
      <c r="A16" s="181" t="s">
        <v>79</v>
      </c>
      <c r="B16" s="182" t="s">
        <v>80</v>
      </c>
      <c r="C16" s="184">
        <f>(1+E16)^(E17/252)-1</f>
        <v>2.6031494362050989E-3</v>
      </c>
      <c r="D16" s="200" t="s">
        <v>240</v>
      </c>
      <c r="E16" s="185">
        <v>0.14000000000000001</v>
      </c>
      <c r="F16" s="180"/>
      <c r="G16" s="130"/>
      <c r="H16" s="130"/>
    </row>
    <row r="17" spans="1:8" ht="14.25">
      <c r="A17" s="181" t="s">
        <v>81</v>
      </c>
      <c r="B17" s="512" t="s">
        <v>82</v>
      </c>
      <c r="C17" s="183">
        <v>0.03</v>
      </c>
      <c r="D17" s="252" t="s">
        <v>164</v>
      </c>
      <c r="E17" s="186">
        <v>5</v>
      </c>
      <c r="F17" s="187"/>
      <c r="G17" s="130"/>
      <c r="H17" s="130"/>
    </row>
    <row r="18" spans="1:8" ht="15" thickBot="1">
      <c r="A18" s="188" t="s">
        <v>309</v>
      </c>
      <c r="B18" s="513"/>
      <c r="C18" s="189">
        <v>3.6499999999999998E-2</v>
      </c>
      <c r="D18" s="170"/>
      <c r="E18" s="190"/>
      <c r="F18" s="187"/>
      <c r="G18" s="130"/>
      <c r="H18" s="130"/>
    </row>
    <row r="19" spans="1:8" ht="14.25">
      <c r="A19" s="191" t="s">
        <v>83</v>
      </c>
      <c r="B19" s="192"/>
      <c r="C19" s="193"/>
      <c r="D19" s="170"/>
      <c r="E19" s="190"/>
      <c r="F19" s="187"/>
      <c r="G19" s="130"/>
      <c r="H19" s="130"/>
    </row>
    <row r="20" spans="1:8" ht="15" thickBot="1">
      <c r="A20" s="194" t="s">
        <v>84</v>
      </c>
      <c r="B20" s="195"/>
      <c r="C20" s="196"/>
      <c r="D20" s="170"/>
      <c r="E20" s="190"/>
      <c r="F20" s="187"/>
      <c r="G20" s="130"/>
      <c r="H20" s="130"/>
    </row>
    <row r="21" spans="1:8" ht="15.75" thickBot="1">
      <c r="A21" s="197" t="s">
        <v>85</v>
      </c>
      <c r="B21" s="198"/>
      <c r="C21" s="199">
        <f>ROUND((((1+C13+C14)*(1+C15)*(1+C16))/(1-(C17+C18))-1),4)</f>
        <v>0.29110000000000003</v>
      </c>
      <c r="D21" s="203">
        <v>0.21429999999999999</v>
      </c>
      <c r="E21" s="204">
        <v>0.2717</v>
      </c>
      <c r="F21" s="205">
        <v>0.3362</v>
      </c>
      <c r="G21" s="130"/>
      <c r="H21" s="130"/>
    </row>
    <row r="22" spans="1:8" ht="14.25">
      <c r="A22" s="130"/>
      <c r="B22" s="130"/>
      <c r="C22" s="130"/>
      <c r="D22" s="130"/>
      <c r="E22" s="131"/>
      <c r="F22" s="130"/>
      <c r="G22" s="130"/>
      <c r="H22" s="130"/>
    </row>
    <row r="23" spans="1:8" ht="14.25">
      <c r="A23" s="130"/>
      <c r="B23" s="130"/>
      <c r="C23" s="130"/>
      <c r="D23" s="130"/>
      <c r="E23" s="131"/>
      <c r="F23" s="130"/>
      <c r="G23" s="130"/>
      <c r="H23" s="130"/>
    </row>
    <row r="24" spans="1:8" ht="14.25">
      <c r="A24" s="130"/>
      <c r="B24" s="130"/>
      <c r="C24" s="130"/>
      <c r="D24" s="130"/>
      <c r="E24" s="131"/>
      <c r="F24" s="130"/>
      <c r="G24" s="130"/>
      <c r="H24" s="130"/>
    </row>
    <row r="25" spans="1:8" ht="14.25">
      <c r="A25" s="130"/>
      <c r="B25" s="130"/>
      <c r="C25" s="130"/>
      <c r="D25" s="130"/>
      <c r="E25" s="131"/>
      <c r="F25" s="130"/>
      <c r="G25" s="130"/>
      <c r="H25" s="130"/>
    </row>
  </sheetData>
  <mergeCells count="3">
    <mergeCell ref="B17:B18"/>
    <mergeCell ref="D11:F11"/>
    <mergeCell ref="A9:F9"/>
  </mergeCells>
  <pageMargins left="0.90551181102362199" right="0.5118110236220472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4"/>
  <sheetViews>
    <sheetView workbookViewId="0">
      <selection activeCell="A10" sqref="A10"/>
    </sheetView>
  </sheetViews>
  <sheetFormatPr defaultColWidth="8.85546875" defaultRowHeight="15"/>
  <cols>
    <col min="1" max="1" width="31.28515625" style="440" customWidth="1"/>
    <col min="2" max="3" width="15.7109375" style="440" hidden="1" customWidth="1"/>
    <col min="4" max="4" width="21.85546875" style="440" bestFit="1" customWidth="1"/>
    <col min="5" max="5" width="12.85546875" style="440" bestFit="1" customWidth="1"/>
    <col min="6" max="6" width="9.42578125" style="440" bestFit="1" customWidth="1"/>
    <col min="7" max="7" width="8.85546875" style="440"/>
    <col min="8" max="9" width="11.42578125" style="440" hidden="1" customWidth="1"/>
    <col min="10" max="10" width="11.42578125" style="440" bestFit="1" customWidth="1"/>
    <col min="11" max="11" width="8.85546875" style="440"/>
    <col min="12" max="13" width="11.28515625" style="440" bestFit="1" customWidth="1"/>
    <col min="14" max="16384" width="8.85546875" style="440"/>
  </cols>
  <sheetData>
    <row r="1" spans="1:9" ht="18">
      <c r="A1" s="133" t="s">
        <v>388</v>
      </c>
      <c r="B1" s="133"/>
      <c r="C1" s="133"/>
    </row>
    <row r="2" spans="1:9" ht="15.75">
      <c r="A2" s="441" t="s">
        <v>485</v>
      </c>
      <c r="B2" s="441"/>
      <c r="C2" s="441"/>
    </row>
    <row r="3" spans="1:9" ht="15.75">
      <c r="A3" s="441" t="s">
        <v>470</v>
      </c>
      <c r="B3" s="441"/>
      <c r="C3" s="441"/>
    </row>
    <row r="4" spans="1:9">
      <c r="A4" s="442"/>
      <c r="B4" s="442"/>
      <c r="C4" s="442"/>
    </row>
    <row r="5" spans="1:9" hidden="1">
      <c r="A5" s="520" t="s">
        <v>356</v>
      </c>
      <c r="B5" s="521"/>
      <c r="C5" s="521"/>
      <c r="D5" s="521"/>
      <c r="E5" s="521"/>
      <c r="F5" s="522"/>
      <c r="H5" s="443" t="s">
        <v>357</v>
      </c>
      <c r="I5" s="443" t="s">
        <v>357</v>
      </c>
    </row>
    <row r="6" spans="1:9" hidden="1">
      <c r="A6" s="444" t="s">
        <v>263</v>
      </c>
      <c r="B6" s="444"/>
      <c r="C6" s="444"/>
      <c r="D6" s="444" t="s">
        <v>444</v>
      </c>
      <c r="E6" s="444" t="s">
        <v>358</v>
      </c>
      <c r="F6" s="444" t="s">
        <v>359</v>
      </c>
      <c r="H6" s="443">
        <v>108.51</v>
      </c>
      <c r="I6" s="443"/>
    </row>
    <row r="7" spans="1:9" hidden="1">
      <c r="A7" s="445" t="s">
        <v>360</v>
      </c>
      <c r="B7" s="445"/>
      <c r="C7" s="445"/>
      <c r="D7" s="446">
        <v>10570</v>
      </c>
      <c r="E7" s="321">
        <v>0.42</v>
      </c>
      <c r="F7" s="447">
        <f>D7*E7*30/1000</f>
        <v>133.18199999999999</v>
      </c>
      <c r="H7" s="443"/>
      <c r="I7" s="443"/>
    </row>
    <row r="8" spans="1:9" hidden="1">
      <c r="A8" s="448"/>
      <c r="B8" s="458"/>
      <c r="C8" s="458"/>
      <c r="D8" s="449"/>
      <c r="E8" s="322"/>
      <c r="F8" s="447"/>
    </row>
    <row r="9" spans="1:9" hidden="1">
      <c r="A9" s="520" t="s">
        <v>361</v>
      </c>
      <c r="B9" s="521"/>
      <c r="C9" s="521"/>
      <c r="D9" s="522"/>
      <c r="E9" s="450"/>
      <c r="F9" s="451">
        <f>F7*12</f>
        <v>1598.1839999999997</v>
      </c>
    </row>
    <row r="10" spans="1:9" hidden="1"/>
    <row r="11" spans="1:9" hidden="1">
      <c r="A11" s="520" t="s">
        <v>408</v>
      </c>
      <c r="B11" s="521"/>
      <c r="C11" s="521"/>
      <c r="D11" s="522"/>
      <c r="E11" s="450"/>
      <c r="F11" s="451">
        <f>F7*0.15</f>
        <v>19.977299999999996</v>
      </c>
    </row>
    <row r="12" spans="1:9" hidden="1">
      <c r="A12" s="520" t="s">
        <v>409</v>
      </c>
      <c r="B12" s="521"/>
      <c r="C12" s="521"/>
      <c r="D12" s="522"/>
      <c r="E12" s="450"/>
      <c r="F12" s="451">
        <f>F7-F11</f>
        <v>113.20469999999999</v>
      </c>
    </row>
    <row r="13" spans="1:9" ht="17.25" customHeight="1">
      <c r="A13" s="452" t="s">
        <v>457</v>
      </c>
      <c r="B13" s="452"/>
      <c r="C13" s="452"/>
      <c r="D13" s="452" t="s">
        <v>458</v>
      </c>
      <c r="E13" s="453"/>
      <c r="F13" s="454"/>
    </row>
    <row r="14" spans="1:9" ht="18.75">
      <c r="A14" s="465">
        <v>45839</v>
      </c>
      <c r="B14" s="465">
        <v>45839</v>
      </c>
      <c r="C14" s="455"/>
      <c r="D14" s="466">
        <v>210370</v>
      </c>
      <c r="E14" s="456"/>
    </row>
    <row r="15" spans="1:9" ht="18.75">
      <c r="A15" s="465">
        <v>45809</v>
      </c>
      <c r="B15" s="465">
        <v>45809</v>
      </c>
      <c r="C15" s="455"/>
      <c r="D15" s="466">
        <v>198210</v>
      </c>
    </row>
    <row r="16" spans="1:9" ht="18.75">
      <c r="A16" s="465">
        <v>45778</v>
      </c>
      <c r="B16" s="465">
        <v>45778</v>
      </c>
      <c r="C16" s="455"/>
      <c r="D16" s="466">
        <v>194173</v>
      </c>
    </row>
    <row r="17" spans="1:10" ht="18.75">
      <c r="A17" s="465">
        <v>45748</v>
      </c>
      <c r="B17" s="465">
        <v>45748</v>
      </c>
      <c r="C17" s="455"/>
      <c r="D17" s="466">
        <v>192070</v>
      </c>
    </row>
    <row r="18" spans="1:10" ht="18.75">
      <c r="A18" s="465">
        <v>45717</v>
      </c>
      <c r="B18" s="465">
        <v>45717</v>
      </c>
      <c r="C18" s="455"/>
      <c r="D18" s="466">
        <v>193660</v>
      </c>
    </row>
    <row r="19" spans="1:10" ht="18.75">
      <c r="A19" s="465">
        <v>45689</v>
      </c>
      <c r="B19" s="465">
        <v>45689</v>
      </c>
      <c r="C19" s="455"/>
      <c r="D19" s="466">
        <v>171672</v>
      </c>
    </row>
    <row r="20" spans="1:10" ht="18.75">
      <c r="A20" s="465">
        <v>45658</v>
      </c>
      <c r="B20" s="465">
        <v>45658</v>
      </c>
      <c r="C20" s="455"/>
      <c r="D20" s="466">
        <v>214650</v>
      </c>
    </row>
    <row r="21" spans="1:10" ht="18.75">
      <c r="A21" s="465">
        <v>45627</v>
      </c>
      <c r="B21" s="465">
        <v>45627</v>
      </c>
      <c r="C21" s="455"/>
      <c r="D21" s="466">
        <v>216950</v>
      </c>
    </row>
    <row r="22" spans="1:10" ht="18.75">
      <c r="A22" s="465">
        <v>45597</v>
      </c>
      <c r="B22" s="465">
        <v>45597</v>
      </c>
      <c r="C22" s="455"/>
      <c r="D22" s="466">
        <v>187350</v>
      </c>
    </row>
    <row r="23" spans="1:10" ht="18.75">
      <c r="A23" s="465">
        <v>45566</v>
      </c>
      <c r="B23" s="465">
        <v>45566</v>
      </c>
      <c r="C23" s="455"/>
      <c r="D23" s="466">
        <v>223940</v>
      </c>
    </row>
    <row r="24" spans="1:10" ht="18.75">
      <c r="A24" s="465">
        <v>45536</v>
      </c>
      <c r="B24" s="465">
        <v>45536</v>
      </c>
      <c r="C24" s="455"/>
      <c r="D24" s="466">
        <v>158660</v>
      </c>
    </row>
    <row r="25" spans="1:10" ht="18.75">
      <c r="A25" s="465">
        <v>45505</v>
      </c>
      <c r="B25" s="465">
        <v>45505</v>
      </c>
      <c r="C25" s="455"/>
      <c r="D25" s="466">
        <v>197630</v>
      </c>
    </row>
    <row r="26" spans="1:10" ht="18.75">
      <c r="A26" s="93" t="s">
        <v>459</v>
      </c>
      <c r="B26" s="93"/>
      <c r="C26" s="93"/>
      <c r="D26" s="467">
        <f>SUM(D14:D25)</f>
        <v>2359335</v>
      </c>
    </row>
    <row r="27" spans="1:10">
      <c r="A27" s="286"/>
      <c r="B27" s="286"/>
      <c r="C27" s="286"/>
      <c r="D27" s="286"/>
    </row>
    <row r="28" spans="1:10" ht="18.75">
      <c r="A28" s="288" t="s">
        <v>484</v>
      </c>
      <c r="B28" s="288"/>
      <c r="C28" s="288"/>
      <c r="D28" s="468">
        <f>D26/12</f>
        <v>196611.25</v>
      </c>
    </row>
    <row r="29" spans="1:10">
      <c r="A29" s="443"/>
      <c r="B29" s="443"/>
      <c r="C29" s="443"/>
      <c r="D29" s="443"/>
    </row>
    <row r="30" spans="1:10" ht="18.75">
      <c r="A30" s="288" t="s">
        <v>460</v>
      </c>
      <c r="B30" s="288"/>
      <c r="C30" s="288"/>
      <c r="D30" s="457">
        <f>D28/1000</f>
        <v>196.61125000000001</v>
      </c>
      <c r="J30" s="456"/>
    </row>
    <row r="34" spans="4:4">
      <c r="D34" s="456"/>
    </row>
  </sheetData>
  <mergeCells count="4">
    <mergeCell ref="A5:F5"/>
    <mergeCell ref="A9:D9"/>
    <mergeCell ref="A11:D11"/>
    <mergeCell ref="A12:D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P42"/>
  <sheetViews>
    <sheetView topLeftCell="A11" workbookViewId="0">
      <selection activeCell="Q20" sqref="Q20"/>
    </sheetView>
  </sheetViews>
  <sheetFormatPr defaultColWidth="8.85546875" defaultRowHeight="15"/>
  <cols>
    <col min="1" max="1" width="6.140625" style="260" customWidth="1"/>
    <col min="2" max="2" width="15.140625" style="260" customWidth="1"/>
    <col min="3" max="3" width="12.42578125" style="260" customWidth="1"/>
    <col min="4" max="4" width="7.140625" style="260" customWidth="1"/>
    <col min="5" max="5" width="10.42578125" style="260" customWidth="1"/>
    <col min="6" max="6" width="7.85546875" style="260" customWidth="1"/>
    <col min="7" max="7" width="8.140625" style="260" bestFit="1" customWidth="1"/>
    <col min="8" max="8" width="7.28515625" style="260" customWidth="1"/>
    <col min="9" max="9" width="5.5703125" style="260" hidden="1" customWidth="1"/>
    <col min="10" max="10" width="8" style="260" hidden="1" customWidth="1"/>
    <col min="11" max="11" width="7" style="260" hidden="1" customWidth="1"/>
    <col min="12" max="14" width="5.85546875" style="260" bestFit="1" customWidth="1"/>
    <col min="15" max="16" width="0" style="260" hidden="1" customWidth="1"/>
    <col min="17" max="16384" width="8.85546875" style="260"/>
  </cols>
  <sheetData>
    <row r="1" spans="1:16" ht="18">
      <c r="A1" s="133" t="s">
        <v>388</v>
      </c>
    </row>
    <row r="2" spans="1:16">
      <c r="A2" s="259" t="s">
        <v>353</v>
      </c>
    </row>
    <row r="3" spans="1:16" ht="15.75" thickBot="1">
      <c r="A3" s="259" t="s">
        <v>461</v>
      </c>
    </row>
    <row r="4" spans="1:16" ht="30.75" thickBot="1">
      <c r="A4" s="368" t="s">
        <v>322</v>
      </c>
      <c r="B4" s="366" t="s">
        <v>342</v>
      </c>
      <c r="C4" s="366" t="s">
        <v>266</v>
      </c>
      <c r="D4" s="369" t="s">
        <v>264</v>
      </c>
      <c r="E4" s="366" t="s">
        <v>265</v>
      </c>
      <c r="F4" s="366" t="s">
        <v>267</v>
      </c>
      <c r="G4" s="366" t="s">
        <v>268</v>
      </c>
      <c r="H4" s="367" t="s">
        <v>339</v>
      </c>
      <c r="I4" s="323"/>
      <c r="J4" s="323"/>
    </row>
    <row r="5" spans="1:16">
      <c r="A5" s="523" t="s">
        <v>378</v>
      </c>
      <c r="B5" s="532" t="s">
        <v>341</v>
      </c>
      <c r="C5" s="534" t="s">
        <v>403</v>
      </c>
      <c r="D5" s="324">
        <v>3</v>
      </c>
      <c r="E5" s="355" t="s">
        <v>352</v>
      </c>
      <c r="F5" s="353">
        <v>0.33333333333333331</v>
      </c>
      <c r="G5" s="353">
        <v>0.6875</v>
      </c>
      <c r="H5" s="353">
        <v>0.3125</v>
      </c>
      <c r="I5" s="470">
        <f>G5-F5</f>
        <v>0.35416666666666669</v>
      </c>
      <c r="J5" s="326">
        <v>15</v>
      </c>
      <c r="N5" s="303"/>
      <c r="O5" s="471">
        <f>'7. Roteiros'!E33/7.5</f>
        <v>10.643584000000001</v>
      </c>
      <c r="P5" s="260">
        <v>10.644</v>
      </c>
    </row>
    <row r="6" spans="1:16" ht="15.75" thickBot="1">
      <c r="A6" s="524"/>
      <c r="B6" s="526"/>
      <c r="C6" s="535"/>
      <c r="D6" s="325">
        <v>1</v>
      </c>
      <c r="E6" s="356" t="s">
        <v>43</v>
      </c>
      <c r="F6" s="354">
        <v>0.33333333333333331</v>
      </c>
      <c r="G6" s="354">
        <v>0.77083333333333337</v>
      </c>
      <c r="H6" s="354">
        <v>0.39583333333333331</v>
      </c>
      <c r="I6" s="470">
        <f t="shared" ref="I6:I17" si="0">G6-F6</f>
        <v>0.43750000000000006</v>
      </c>
      <c r="J6" s="323"/>
      <c r="K6" s="260">
        <v>19</v>
      </c>
      <c r="O6" s="303"/>
    </row>
    <row r="7" spans="1:16">
      <c r="A7" s="523" t="s">
        <v>324</v>
      </c>
      <c r="B7" s="532" t="s">
        <v>341</v>
      </c>
      <c r="C7" s="534" t="s">
        <v>404</v>
      </c>
      <c r="D7" s="324">
        <v>3</v>
      </c>
      <c r="E7" s="355" t="s">
        <v>352</v>
      </c>
      <c r="F7" s="353">
        <v>0.33333333333333331</v>
      </c>
      <c r="G7" s="353">
        <v>0.625</v>
      </c>
      <c r="H7" s="353">
        <v>0.25</v>
      </c>
      <c r="I7" s="470">
        <f t="shared" si="0"/>
        <v>0.29166666666666669</v>
      </c>
      <c r="J7" s="323">
        <v>6</v>
      </c>
      <c r="O7" s="471">
        <f>'7. Roteiros'!E16/6</f>
        <v>6.9621583333333321</v>
      </c>
    </row>
    <row r="8" spans="1:16" ht="15.75" thickBot="1">
      <c r="A8" s="524"/>
      <c r="B8" s="526"/>
      <c r="C8" s="535"/>
      <c r="D8" s="325">
        <v>1</v>
      </c>
      <c r="E8" s="356" t="s">
        <v>43</v>
      </c>
      <c r="F8" s="354">
        <v>0.33333333333333331</v>
      </c>
      <c r="G8" s="354">
        <v>0.70833333333333337</v>
      </c>
      <c r="H8" s="354">
        <v>0.33333333333333331</v>
      </c>
      <c r="I8" s="470">
        <f t="shared" si="0"/>
        <v>0.37500000000000006</v>
      </c>
      <c r="J8" s="323"/>
      <c r="K8" s="260">
        <v>8</v>
      </c>
    </row>
    <row r="9" spans="1:16">
      <c r="A9" s="523" t="s">
        <v>378</v>
      </c>
      <c r="B9" s="532" t="s">
        <v>343</v>
      </c>
      <c r="C9" s="533" t="s">
        <v>380</v>
      </c>
      <c r="D9" s="324">
        <v>3</v>
      </c>
      <c r="E9" s="355" t="s">
        <v>352</v>
      </c>
      <c r="F9" s="353">
        <v>0.33333333333333331</v>
      </c>
      <c r="G9" s="353">
        <v>0.6875</v>
      </c>
      <c r="H9" s="353">
        <v>0.3125</v>
      </c>
      <c r="I9" s="470">
        <f t="shared" si="0"/>
        <v>0.35416666666666669</v>
      </c>
      <c r="J9" s="326">
        <v>7.5</v>
      </c>
      <c r="N9" s="303"/>
      <c r="O9" s="471">
        <v>10.644</v>
      </c>
    </row>
    <row r="10" spans="1:16" ht="15.75" thickBot="1">
      <c r="A10" s="524"/>
      <c r="B10" s="526"/>
      <c r="C10" s="526"/>
      <c r="D10" s="325">
        <v>1</v>
      </c>
      <c r="E10" s="356" t="s">
        <v>43</v>
      </c>
      <c r="F10" s="354">
        <v>0.33333333333333331</v>
      </c>
      <c r="G10" s="354">
        <v>0.72916666666666663</v>
      </c>
      <c r="H10" s="354">
        <v>0.35416666666666669</v>
      </c>
      <c r="I10" s="470">
        <f t="shared" si="0"/>
        <v>0.39583333333333331</v>
      </c>
      <c r="J10" s="323"/>
      <c r="K10" s="260">
        <v>8.5</v>
      </c>
      <c r="O10" s="303"/>
    </row>
    <row r="11" spans="1:16">
      <c r="A11" s="523" t="s">
        <v>324</v>
      </c>
      <c r="B11" s="532" t="s">
        <v>343</v>
      </c>
      <c r="C11" s="533" t="s">
        <v>385</v>
      </c>
      <c r="D11" s="324">
        <v>3</v>
      </c>
      <c r="E11" s="355" t="s">
        <v>352</v>
      </c>
      <c r="F11" s="353">
        <v>0.33333333333333331</v>
      </c>
      <c r="G11" s="353">
        <v>0.625</v>
      </c>
      <c r="H11" s="353">
        <v>0.25</v>
      </c>
      <c r="I11" s="470">
        <f t="shared" si="0"/>
        <v>0.29166666666666669</v>
      </c>
      <c r="J11" s="260">
        <v>6</v>
      </c>
      <c r="O11" s="471">
        <v>6.9619999999999997</v>
      </c>
    </row>
    <row r="12" spans="1:16" ht="15.75" thickBot="1">
      <c r="A12" s="524"/>
      <c r="B12" s="526"/>
      <c r="C12" s="526"/>
      <c r="D12" s="325">
        <v>1</v>
      </c>
      <c r="E12" s="356" t="s">
        <v>43</v>
      </c>
      <c r="F12" s="354">
        <v>0.33333333333333331</v>
      </c>
      <c r="G12" s="354">
        <v>0.66666666666666663</v>
      </c>
      <c r="H12" s="354">
        <v>0.29166666666666669</v>
      </c>
      <c r="I12" s="470">
        <f t="shared" si="0"/>
        <v>0.33333333333333331</v>
      </c>
      <c r="K12" s="260">
        <v>7</v>
      </c>
    </row>
    <row r="13" spans="1:16">
      <c r="A13" s="523" t="s">
        <v>448</v>
      </c>
      <c r="B13" s="525" t="s">
        <v>341</v>
      </c>
      <c r="C13" s="527" t="s">
        <v>452</v>
      </c>
      <c r="D13" s="324">
        <v>3</v>
      </c>
      <c r="E13" s="459" t="s">
        <v>352</v>
      </c>
      <c r="F13" s="460">
        <v>0.29166666666666669</v>
      </c>
      <c r="G13" s="460">
        <v>0.4375</v>
      </c>
      <c r="H13" s="460">
        <v>0.14583333333333334</v>
      </c>
      <c r="I13" s="470">
        <f t="shared" si="0"/>
        <v>0.14583333333333331</v>
      </c>
      <c r="J13" s="260">
        <v>3.5</v>
      </c>
    </row>
    <row r="14" spans="1:16" ht="15.75" thickBot="1">
      <c r="A14" s="524"/>
      <c r="B14" s="526"/>
      <c r="C14" s="526"/>
      <c r="D14" s="325">
        <v>1</v>
      </c>
      <c r="E14" s="461" t="s">
        <v>43</v>
      </c>
      <c r="F14" s="462">
        <v>0.29166666666666669</v>
      </c>
      <c r="G14" s="462">
        <v>0.5</v>
      </c>
      <c r="H14" s="462">
        <v>0.20833333333333334</v>
      </c>
      <c r="I14" s="470">
        <f t="shared" si="0"/>
        <v>0.20833333333333331</v>
      </c>
      <c r="K14" s="260">
        <v>5</v>
      </c>
      <c r="P14" s="471">
        <f>SUM(O5:P13)</f>
        <v>45.855742333333339</v>
      </c>
    </row>
    <row r="15" spans="1:16">
      <c r="A15" s="523" t="s">
        <v>390</v>
      </c>
      <c r="B15" s="529" t="s">
        <v>384</v>
      </c>
      <c r="C15" s="531" t="s">
        <v>474</v>
      </c>
      <c r="D15" s="324">
        <v>3</v>
      </c>
      <c r="E15" s="355" t="s">
        <v>352</v>
      </c>
      <c r="F15" s="353">
        <v>0.16666666666666666</v>
      </c>
      <c r="G15" s="353">
        <v>0.33333333333333331</v>
      </c>
      <c r="H15" s="353">
        <v>0.16666666666666666</v>
      </c>
      <c r="I15" s="470">
        <f t="shared" si="0"/>
        <v>0.16666666666666666</v>
      </c>
      <c r="J15" s="260">
        <f>8*0.2334</f>
        <v>1.8672</v>
      </c>
      <c r="O15" s="303"/>
      <c r="P15" s="260">
        <v>5</v>
      </c>
    </row>
    <row r="16" spans="1:16" ht="25.5" customHeight="1" thickBot="1">
      <c r="A16" s="528"/>
      <c r="B16" s="530"/>
      <c r="C16" s="530"/>
      <c r="D16" s="325">
        <v>1</v>
      </c>
      <c r="E16" s="356" t="s">
        <v>43</v>
      </c>
      <c r="F16" s="354">
        <v>0.16666666666666666</v>
      </c>
      <c r="G16" s="354">
        <v>0.33333333333333331</v>
      </c>
      <c r="H16" s="354">
        <v>0.16666666666666666</v>
      </c>
      <c r="I16" s="470">
        <f t="shared" si="0"/>
        <v>0.16666666666666666</v>
      </c>
      <c r="K16" s="260">
        <f>8*0.2334</f>
        <v>1.8672</v>
      </c>
      <c r="P16" s="260">
        <f>P14/P15</f>
        <v>9.1711484666666685</v>
      </c>
    </row>
    <row r="17" spans="1:13" ht="30.75" thickBot="1">
      <c r="A17" s="375" t="s">
        <v>406</v>
      </c>
      <c r="B17" s="376" t="s">
        <v>407</v>
      </c>
      <c r="C17" s="437" t="s">
        <v>447</v>
      </c>
      <c r="D17" s="377">
        <v>1</v>
      </c>
      <c r="E17" s="378" t="s">
        <v>43</v>
      </c>
      <c r="F17" s="379">
        <v>0.66666666666666663</v>
      </c>
      <c r="G17" s="379">
        <v>0.75</v>
      </c>
      <c r="H17" s="379">
        <v>8.3333333333333329E-2</v>
      </c>
      <c r="I17" s="470">
        <f t="shared" si="0"/>
        <v>8.333333333333337E-2</v>
      </c>
      <c r="J17" s="323"/>
      <c r="K17" s="260">
        <v>2</v>
      </c>
    </row>
    <row r="18" spans="1:13">
      <c r="A18" s="370"/>
      <c r="B18" s="371"/>
      <c r="C18" s="371"/>
      <c r="D18" s="372"/>
      <c r="E18" s="373"/>
      <c r="F18" s="374"/>
      <c r="G18" s="374"/>
      <c r="H18" s="374"/>
    </row>
    <row r="19" spans="1:13">
      <c r="A19" s="259"/>
      <c r="B19" s="259"/>
      <c r="C19" s="259"/>
      <c r="D19" s="259"/>
      <c r="E19" s="259"/>
      <c r="F19" s="259"/>
      <c r="G19" s="259"/>
      <c r="H19" s="259"/>
      <c r="J19" s="260">
        <f>SUM(J4:J17)</f>
        <v>39.867199999999997</v>
      </c>
      <c r="K19" s="472">
        <f>SUM(K5:K18)</f>
        <v>51.367199999999997</v>
      </c>
      <c r="L19" s="304"/>
      <c r="M19" s="304"/>
    </row>
    <row r="20" spans="1:13">
      <c r="A20" s="259" t="s">
        <v>475</v>
      </c>
    </row>
    <row r="21" spans="1:13">
      <c r="A21" s="262" t="s">
        <v>269</v>
      </c>
      <c r="B21" s="263"/>
      <c r="C21" s="263"/>
      <c r="D21" s="263"/>
      <c r="E21" s="263"/>
      <c r="F21" s="263"/>
      <c r="G21" s="264">
        <v>6.6669999999999998</v>
      </c>
      <c r="K21" s="260">
        <v>44</v>
      </c>
    </row>
    <row r="22" spans="1:13">
      <c r="A22" s="262" t="s">
        <v>270</v>
      </c>
      <c r="B22" s="263"/>
      <c r="C22" s="263"/>
      <c r="D22" s="263"/>
      <c r="E22" s="263"/>
      <c r="F22" s="263"/>
      <c r="G22" s="264">
        <v>6</v>
      </c>
      <c r="K22" s="473">
        <f>K19-K21</f>
        <v>7.3671999999999969</v>
      </c>
    </row>
    <row r="23" spans="1:13">
      <c r="A23" s="262" t="s">
        <v>271</v>
      </c>
      <c r="B23" s="263"/>
      <c r="C23" s="263"/>
      <c r="D23" s="263"/>
      <c r="E23" s="263"/>
      <c r="F23" s="263"/>
      <c r="G23" s="302">
        <f>G21*G22</f>
        <v>40.001999999999995</v>
      </c>
      <c r="K23" s="473">
        <f>K22*4.28</f>
        <v>31.531615999999989</v>
      </c>
    </row>
    <row r="24" spans="1:13">
      <c r="A24" s="262" t="s">
        <v>272</v>
      </c>
      <c r="B24" s="263"/>
      <c r="C24" s="263"/>
      <c r="D24" s="263"/>
      <c r="E24" s="263"/>
      <c r="F24" s="263"/>
      <c r="G24" s="264">
        <v>6</v>
      </c>
    </row>
    <row r="25" spans="1:13">
      <c r="A25" s="262" t="s">
        <v>273</v>
      </c>
      <c r="B25" s="263"/>
      <c r="C25" s="263"/>
      <c r="D25" s="263"/>
      <c r="E25" s="263"/>
      <c r="F25" s="263"/>
      <c r="G25" s="264">
        <v>7</v>
      </c>
    </row>
    <row r="26" spans="1:13">
      <c r="A26" s="262" t="s">
        <v>274</v>
      </c>
      <c r="B26" s="263"/>
      <c r="C26" s="263"/>
      <c r="D26" s="263"/>
      <c r="E26" s="263"/>
      <c r="F26" s="263"/>
      <c r="G26" s="271">
        <f>G23/G24</f>
        <v>6.6669999999999989</v>
      </c>
    </row>
    <row r="27" spans="1:13">
      <c r="A27" s="262" t="s">
        <v>275</v>
      </c>
      <c r="B27" s="263"/>
      <c r="C27" s="263"/>
      <c r="D27" s="263"/>
      <c r="E27" s="263"/>
      <c r="F27" s="263"/>
      <c r="G27" s="264">
        <v>30</v>
      </c>
    </row>
    <row r="28" spans="1:13">
      <c r="A28" s="265" t="s">
        <v>276</v>
      </c>
      <c r="B28" s="266"/>
      <c r="C28" s="266"/>
      <c r="D28" s="266"/>
      <c r="E28" s="266"/>
      <c r="F28" s="266"/>
      <c r="G28" s="261">
        <f>G26*G27</f>
        <v>200.00999999999996</v>
      </c>
    </row>
    <row r="29" spans="1:13">
      <c r="A29" s="265" t="s">
        <v>278</v>
      </c>
      <c r="B29" s="266"/>
      <c r="C29" s="266"/>
      <c r="D29" s="266"/>
      <c r="E29" s="266"/>
      <c r="F29" s="266"/>
      <c r="G29" s="261">
        <v>220</v>
      </c>
    </row>
    <row r="30" spans="1:13">
      <c r="A30" s="265" t="s">
        <v>279</v>
      </c>
      <c r="B30" s="266"/>
      <c r="C30" s="266"/>
      <c r="D30" s="266"/>
      <c r="E30" s="266"/>
      <c r="F30" s="266"/>
      <c r="G30" s="267">
        <f>G28/G29</f>
        <v>0.90913636363636352</v>
      </c>
    </row>
    <row r="32" spans="1:13">
      <c r="A32" s="259" t="s">
        <v>476</v>
      </c>
    </row>
    <row r="33" spans="1:7">
      <c r="A33" s="262" t="s">
        <v>277</v>
      </c>
      <c r="B33" s="263"/>
      <c r="C33" s="263"/>
      <c r="D33" s="263"/>
      <c r="E33" s="263"/>
      <c r="F33" s="263"/>
      <c r="G33" s="264">
        <v>7.3334000000000001</v>
      </c>
    </row>
    <row r="34" spans="1:7">
      <c r="A34" s="262" t="s">
        <v>270</v>
      </c>
      <c r="B34" s="263"/>
      <c r="C34" s="263"/>
      <c r="D34" s="263"/>
      <c r="E34" s="263"/>
      <c r="F34" s="263"/>
      <c r="G34" s="264">
        <v>6</v>
      </c>
    </row>
    <row r="35" spans="1:7">
      <c r="A35" s="262" t="s">
        <v>271</v>
      </c>
      <c r="B35" s="263"/>
      <c r="C35" s="263"/>
      <c r="D35" s="263"/>
      <c r="E35" s="263"/>
      <c r="F35" s="263"/>
      <c r="G35" s="302">
        <f>G33*G34</f>
        <v>44.000399999999999</v>
      </c>
    </row>
    <row r="36" spans="1:7">
      <c r="A36" s="262" t="s">
        <v>272</v>
      </c>
      <c r="B36" s="263"/>
      <c r="C36" s="263"/>
      <c r="D36" s="263"/>
      <c r="E36" s="263"/>
      <c r="F36" s="263"/>
      <c r="G36" s="264">
        <v>6</v>
      </c>
    </row>
    <row r="37" spans="1:7">
      <c r="A37" s="262" t="s">
        <v>273</v>
      </c>
      <c r="B37" s="263"/>
      <c r="C37" s="263"/>
      <c r="D37" s="263"/>
      <c r="E37" s="263"/>
      <c r="F37" s="263"/>
      <c r="G37" s="264">
        <v>7</v>
      </c>
    </row>
    <row r="38" spans="1:7">
      <c r="A38" s="262" t="s">
        <v>274</v>
      </c>
      <c r="B38" s="263"/>
      <c r="C38" s="263"/>
      <c r="D38" s="263"/>
      <c r="E38" s="263"/>
      <c r="F38" s="263"/>
      <c r="G38" s="271">
        <f>G35/G36</f>
        <v>7.3334000000000001</v>
      </c>
    </row>
    <row r="39" spans="1:7">
      <c r="A39" s="262" t="s">
        <v>275</v>
      </c>
      <c r="B39" s="263"/>
      <c r="C39" s="263"/>
      <c r="D39" s="263"/>
      <c r="E39" s="263"/>
      <c r="F39" s="263"/>
      <c r="G39" s="264">
        <v>30</v>
      </c>
    </row>
    <row r="40" spans="1:7">
      <c r="A40" s="265" t="s">
        <v>276</v>
      </c>
      <c r="B40" s="266"/>
      <c r="C40" s="266"/>
      <c r="D40" s="266"/>
      <c r="E40" s="266"/>
      <c r="F40" s="266"/>
      <c r="G40" s="273">
        <f>G38*G39</f>
        <v>220.00200000000001</v>
      </c>
    </row>
    <row r="41" spans="1:7">
      <c r="A41" s="265" t="s">
        <v>278</v>
      </c>
      <c r="B41" s="266"/>
      <c r="C41" s="266"/>
      <c r="D41" s="266"/>
      <c r="E41" s="266"/>
      <c r="F41" s="266"/>
      <c r="G41" s="261">
        <v>220</v>
      </c>
    </row>
    <row r="42" spans="1:7">
      <c r="A42" s="265" t="s">
        <v>279</v>
      </c>
      <c r="B42" s="266"/>
      <c r="C42" s="266"/>
      <c r="D42" s="266"/>
      <c r="E42" s="266"/>
      <c r="F42" s="266"/>
      <c r="G42" s="267">
        <f>G40/G41</f>
        <v>1.0000090909090908</v>
      </c>
    </row>
  </sheetData>
  <mergeCells count="18">
    <mergeCell ref="A5:A6"/>
    <mergeCell ref="B5:B6"/>
    <mergeCell ref="C5:C6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</mergeCells>
  <pageMargins left="0.51181102362204722" right="0.51181102362204722" top="0.78740157480314965" bottom="0.78740157480314965" header="0.31496062992125984" footer="0.31496062992125984"/>
  <pageSetup paperSize="9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T112"/>
  <sheetViews>
    <sheetView topLeftCell="A21" workbookViewId="0">
      <selection activeCell="A10" sqref="A10"/>
    </sheetView>
  </sheetViews>
  <sheetFormatPr defaultColWidth="8.85546875" defaultRowHeight="15"/>
  <cols>
    <col min="1" max="1" width="4.85546875" style="430" customWidth="1"/>
    <col min="2" max="2" width="19.140625" style="430" customWidth="1"/>
    <col min="3" max="3" width="12" style="430" customWidth="1"/>
    <col min="4" max="4" width="16.28515625" style="430" customWidth="1"/>
    <col min="5" max="5" width="13.140625" style="430" customWidth="1"/>
    <col min="6" max="6" width="7.85546875" style="430" customWidth="1"/>
    <col min="7" max="7" width="8.28515625" style="430" customWidth="1"/>
    <col min="8" max="9" width="10.140625" style="430" customWidth="1"/>
    <col min="10" max="10" width="28.7109375" style="430" bestFit="1" customWidth="1"/>
    <col min="11" max="11" width="6.140625" style="430" customWidth="1"/>
    <col min="12" max="12" width="5.85546875" style="430" customWidth="1"/>
    <col min="13" max="13" width="17.140625" style="430" customWidth="1"/>
    <col min="14" max="14" width="8.85546875" style="430" customWidth="1"/>
    <col min="15" max="19" width="8.85546875" style="430"/>
    <col min="20" max="20" width="9.140625" style="430" bestFit="1" customWidth="1"/>
    <col min="21" max="16384" width="8.85546875" style="430"/>
  </cols>
  <sheetData>
    <row r="1" spans="1:19" ht="15.75" thickBot="1"/>
    <row r="2" spans="1:19" ht="15.75" customHeight="1" thickBot="1">
      <c r="B2" s="536" t="s">
        <v>320</v>
      </c>
      <c r="C2" s="537"/>
      <c r="D2" s="537"/>
      <c r="E2" s="537"/>
      <c r="F2" s="538"/>
      <c r="H2" s="539" t="s">
        <v>337</v>
      </c>
      <c r="I2" s="540"/>
      <c r="J2" s="540"/>
      <c r="K2" s="540"/>
      <c r="L2" s="540"/>
      <c r="M2" s="540"/>
      <c r="N2" s="541"/>
    </row>
    <row r="3" spans="1:19" ht="15.75" thickBot="1">
      <c r="B3" s="542"/>
      <c r="C3" s="543"/>
      <c r="D3" s="543"/>
      <c r="E3" s="543"/>
      <c r="F3" s="544"/>
      <c r="G3" s="431"/>
      <c r="H3" s="545"/>
      <c r="I3" s="546"/>
      <c r="J3" s="546"/>
      <c r="K3" s="546"/>
      <c r="L3" s="546"/>
      <c r="M3" s="546"/>
      <c r="N3" s="547"/>
    </row>
    <row r="4" spans="1:19" ht="15.75" customHeight="1" thickBot="1">
      <c r="B4" s="548" t="s">
        <v>364</v>
      </c>
      <c r="C4" s="549"/>
      <c r="D4" s="549"/>
      <c r="E4" s="549"/>
      <c r="F4" s="550"/>
      <c r="G4" s="431"/>
      <c r="H4" s="551" t="s">
        <v>321</v>
      </c>
      <c r="I4" s="552"/>
      <c r="J4" s="552"/>
      <c r="K4" s="552"/>
      <c r="L4" s="552"/>
      <c r="M4" s="552"/>
      <c r="N4" s="553"/>
    </row>
    <row r="5" spans="1:19" ht="15" customHeight="1" thickBot="1">
      <c r="B5" s="592" t="s">
        <v>369</v>
      </c>
      <c r="C5" s="593"/>
      <c r="D5" s="593"/>
      <c r="E5" s="593"/>
      <c r="F5" s="594"/>
      <c r="G5" s="431"/>
      <c r="H5" s="595" t="s">
        <v>322</v>
      </c>
      <c r="I5" s="562" t="s">
        <v>382</v>
      </c>
      <c r="J5" s="596" t="s">
        <v>301</v>
      </c>
      <c r="K5" s="596" t="s">
        <v>302</v>
      </c>
      <c r="L5" s="596"/>
      <c r="M5" s="596" t="s">
        <v>323</v>
      </c>
      <c r="N5" s="569" t="s">
        <v>281</v>
      </c>
    </row>
    <row r="6" spans="1:19">
      <c r="A6" s="431"/>
      <c r="B6" s="349" t="s">
        <v>303</v>
      </c>
      <c r="C6" s="350" t="s">
        <v>282</v>
      </c>
      <c r="D6" s="350" t="s">
        <v>283</v>
      </c>
      <c r="E6" s="350" t="s">
        <v>280</v>
      </c>
      <c r="F6" s="351" t="s">
        <v>219</v>
      </c>
      <c r="G6" s="431"/>
      <c r="H6" s="561"/>
      <c r="I6" s="563"/>
      <c r="J6" s="565"/>
      <c r="K6" s="566"/>
      <c r="L6" s="566"/>
      <c r="M6" s="565"/>
      <c r="N6" s="568"/>
      <c r="O6" s="431"/>
    </row>
    <row r="7" spans="1:19">
      <c r="A7" s="431"/>
      <c r="B7" s="327" t="s">
        <v>285</v>
      </c>
      <c r="C7" s="285"/>
      <c r="D7" s="328" t="s">
        <v>286</v>
      </c>
      <c r="E7" s="329">
        <v>7340.5</v>
      </c>
      <c r="F7" s="330" t="s">
        <v>284</v>
      </c>
      <c r="G7" s="357"/>
      <c r="H7" s="336" t="s">
        <v>324</v>
      </c>
      <c r="I7" s="364" t="s">
        <v>341</v>
      </c>
      <c r="J7" s="337" t="s">
        <v>393</v>
      </c>
      <c r="K7" s="338">
        <v>1</v>
      </c>
      <c r="L7" s="339" t="s">
        <v>304</v>
      </c>
      <c r="M7" s="340">
        <f>E65</f>
        <v>127.87294999999999</v>
      </c>
      <c r="N7" s="341" t="s">
        <v>17</v>
      </c>
      <c r="O7" s="431"/>
    </row>
    <row r="8" spans="1:19">
      <c r="B8" s="327" t="s">
        <v>287</v>
      </c>
      <c r="C8" s="285"/>
      <c r="D8" s="328" t="s">
        <v>288</v>
      </c>
      <c r="E8" s="329">
        <v>8173.86</v>
      </c>
      <c r="F8" s="330" t="s">
        <v>284</v>
      </c>
      <c r="H8" s="570"/>
      <c r="I8" s="571"/>
      <c r="J8" s="571"/>
      <c r="K8" s="572"/>
      <c r="L8" s="572"/>
      <c r="M8" s="571"/>
      <c r="N8" s="573"/>
    </row>
    <row r="9" spans="1:19">
      <c r="B9" s="327" t="s">
        <v>289</v>
      </c>
      <c r="C9" s="285"/>
      <c r="D9" s="328" t="s">
        <v>290</v>
      </c>
      <c r="E9" s="329">
        <v>3413.08</v>
      </c>
      <c r="F9" s="330" t="s">
        <v>284</v>
      </c>
      <c r="H9" s="336" t="s">
        <v>378</v>
      </c>
      <c r="I9" s="364" t="s">
        <v>341</v>
      </c>
      <c r="J9" s="337" t="s">
        <v>394</v>
      </c>
      <c r="K9" s="338">
        <v>2</v>
      </c>
      <c r="L9" s="339" t="s">
        <v>304</v>
      </c>
      <c r="M9" s="340">
        <f>E74</f>
        <v>165.92687999999998</v>
      </c>
      <c r="N9" s="341" t="s">
        <v>17</v>
      </c>
    </row>
    <row r="10" spans="1:19">
      <c r="B10" s="327" t="s">
        <v>291</v>
      </c>
      <c r="C10" s="285"/>
      <c r="D10" s="328" t="s">
        <v>292</v>
      </c>
      <c r="E10" s="329">
        <v>3691.11</v>
      </c>
      <c r="F10" s="330" t="s">
        <v>284</v>
      </c>
      <c r="H10" s="589"/>
      <c r="I10" s="590"/>
      <c r="J10" s="590"/>
      <c r="K10" s="590"/>
      <c r="L10" s="590"/>
      <c r="M10" s="590"/>
      <c r="N10" s="591"/>
    </row>
    <row r="11" spans="1:19">
      <c r="B11" s="327" t="s">
        <v>293</v>
      </c>
      <c r="C11" s="285"/>
      <c r="D11" s="328" t="s">
        <v>294</v>
      </c>
      <c r="E11" s="329">
        <v>2710.37</v>
      </c>
      <c r="F11" s="330" t="s">
        <v>284</v>
      </c>
      <c r="H11" s="336" t="s">
        <v>448</v>
      </c>
      <c r="I11" s="364" t="s">
        <v>341</v>
      </c>
      <c r="J11" s="337" t="s">
        <v>452</v>
      </c>
      <c r="K11" s="338">
        <v>1</v>
      </c>
      <c r="L11" s="339" t="s">
        <v>304</v>
      </c>
      <c r="M11" s="340">
        <f>E83</f>
        <v>100.85308999999999</v>
      </c>
      <c r="N11" s="341" t="s">
        <v>17</v>
      </c>
    </row>
    <row r="12" spans="1:19">
      <c r="B12" s="327" t="s">
        <v>295</v>
      </c>
      <c r="C12" s="285"/>
      <c r="D12" s="328" t="s">
        <v>296</v>
      </c>
      <c r="E12" s="329">
        <v>5688.54</v>
      </c>
      <c r="F12" s="330" t="s">
        <v>284</v>
      </c>
      <c r="H12" s="574"/>
      <c r="I12" s="575"/>
      <c r="J12" s="575"/>
      <c r="K12" s="575"/>
      <c r="L12" s="575"/>
      <c r="M12" s="575"/>
      <c r="N12" s="576"/>
    </row>
    <row r="13" spans="1:19">
      <c r="B13" s="327" t="s">
        <v>297</v>
      </c>
      <c r="C13" s="285"/>
      <c r="D13" s="328" t="s">
        <v>298</v>
      </c>
      <c r="E13" s="329">
        <v>4935.83</v>
      </c>
      <c r="F13" s="330" t="s">
        <v>284</v>
      </c>
      <c r="H13" s="577" t="s">
        <v>305</v>
      </c>
      <c r="I13" s="578"/>
      <c r="J13" s="578"/>
      <c r="K13" s="578"/>
      <c r="L13" s="579"/>
      <c r="M13" s="342">
        <f>(M7*K7)+(K9*M9)+(K11*M11)</f>
        <v>560.57979999999998</v>
      </c>
      <c r="N13" s="343" t="s">
        <v>306</v>
      </c>
      <c r="R13" s="432"/>
      <c r="S13" s="439"/>
    </row>
    <row r="14" spans="1:19" ht="15.75" thickBot="1">
      <c r="B14" s="327" t="s">
        <v>299</v>
      </c>
      <c r="C14" s="285"/>
      <c r="D14" s="328" t="s">
        <v>308</v>
      </c>
      <c r="E14" s="329">
        <v>5819.66</v>
      </c>
      <c r="F14" s="330" t="s">
        <v>284</v>
      </c>
      <c r="H14" s="580" t="s">
        <v>307</v>
      </c>
      <c r="I14" s="581"/>
      <c r="J14" s="581"/>
      <c r="K14" s="581"/>
      <c r="L14" s="582"/>
      <c r="M14" s="424">
        <f>((M13/7)*30)</f>
        <v>2402.484857142857</v>
      </c>
      <c r="N14" s="344" t="s">
        <v>306</v>
      </c>
      <c r="S14" s="432"/>
    </row>
    <row r="15" spans="1:19" ht="15" customHeight="1" thickBot="1">
      <c r="B15" s="358"/>
      <c r="C15" s="359"/>
      <c r="D15" s="360"/>
      <c r="E15" s="361"/>
      <c r="F15" s="362"/>
      <c r="H15" s="583"/>
      <c r="I15" s="584"/>
      <c r="J15" s="584"/>
      <c r="K15" s="584"/>
      <c r="L15" s="584"/>
      <c r="M15" s="584"/>
      <c r="N15" s="585"/>
    </row>
    <row r="16" spans="1:19" ht="15.75" customHeight="1" thickBot="1">
      <c r="B16" s="558" t="s">
        <v>300</v>
      </c>
      <c r="C16" s="559"/>
      <c r="D16" s="559"/>
      <c r="E16" s="332">
        <f>SUM(E7:E15)/1000</f>
        <v>41.772949999999994</v>
      </c>
      <c r="F16" s="333" t="s">
        <v>17</v>
      </c>
      <c r="H16" s="586"/>
      <c r="I16" s="587"/>
      <c r="J16" s="587"/>
      <c r="K16" s="587"/>
      <c r="L16" s="587"/>
      <c r="M16" s="587"/>
      <c r="N16" s="588"/>
    </row>
    <row r="17" spans="2:18" ht="15.75" thickBot="1">
      <c r="B17" s="109"/>
      <c r="C17" s="109"/>
      <c r="D17" s="425"/>
      <c r="E17" s="357"/>
      <c r="F17"/>
      <c r="H17" s="554" t="s">
        <v>456</v>
      </c>
      <c r="I17" s="555"/>
      <c r="J17" s="556"/>
      <c r="K17" s="556"/>
      <c r="L17" s="556"/>
      <c r="M17" s="556"/>
      <c r="N17" s="557"/>
    </row>
    <row r="18" spans="2:18" ht="15.75" thickBot="1">
      <c r="B18" s="548" t="s">
        <v>378</v>
      </c>
      <c r="C18" s="549"/>
      <c r="D18" s="549"/>
      <c r="E18" s="549"/>
      <c r="F18" s="550"/>
      <c r="H18" s="560" t="s">
        <v>322</v>
      </c>
      <c r="I18" s="562" t="s">
        <v>382</v>
      </c>
      <c r="J18" s="564" t="s">
        <v>301</v>
      </c>
      <c r="K18" s="564" t="s">
        <v>302</v>
      </c>
      <c r="L18" s="564"/>
      <c r="M18" s="564" t="s">
        <v>323</v>
      </c>
      <c r="N18" s="567" t="s">
        <v>281</v>
      </c>
    </row>
    <row r="19" spans="2:18" ht="15.75" customHeight="1" thickBot="1">
      <c r="B19" s="592" t="s">
        <v>391</v>
      </c>
      <c r="C19" s="593"/>
      <c r="D19" s="593"/>
      <c r="E19" s="593"/>
      <c r="F19" s="594"/>
      <c r="H19" s="561"/>
      <c r="I19" s="563"/>
      <c r="J19" s="565"/>
      <c r="K19" s="566"/>
      <c r="L19" s="566"/>
      <c r="M19" s="565"/>
      <c r="N19" s="568"/>
    </row>
    <row r="20" spans="2:18" ht="15" customHeight="1">
      <c r="B20" s="349" t="s">
        <v>303</v>
      </c>
      <c r="C20" s="350" t="s">
        <v>282</v>
      </c>
      <c r="D20" s="350" t="s">
        <v>283</v>
      </c>
      <c r="E20" s="350" t="s">
        <v>280</v>
      </c>
      <c r="F20" s="351" t="s">
        <v>219</v>
      </c>
      <c r="H20" s="336" t="s">
        <v>324</v>
      </c>
      <c r="I20" s="364" t="s">
        <v>343</v>
      </c>
      <c r="J20" s="337" t="s">
        <v>386</v>
      </c>
      <c r="K20" s="338">
        <v>1</v>
      </c>
      <c r="L20" s="339" t="s">
        <v>304</v>
      </c>
      <c r="M20" s="340">
        <f>E93</f>
        <v>58.67295</v>
      </c>
      <c r="N20" s="341" t="s">
        <v>17</v>
      </c>
    </row>
    <row r="21" spans="2:18">
      <c r="B21" s="327" t="s">
        <v>285</v>
      </c>
      <c r="C21" s="285"/>
      <c r="D21" s="328" t="s">
        <v>286</v>
      </c>
      <c r="E21" s="329">
        <v>9719.15</v>
      </c>
      <c r="F21" s="330" t="s">
        <v>284</v>
      </c>
      <c r="H21" s="609"/>
      <c r="I21" s="610"/>
      <c r="J21" s="610"/>
      <c r="K21" s="611"/>
      <c r="L21" s="611"/>
      <c r="M21" s="610"/>
      <c r="N21" s="612"/>
    </row>
    <row r="22" spans="2:18">
      <c r="B22" s="327" t="s">
        <v>287</v>
      </c>
      <c r="C22" s="285"/>
      <c r="D22" s="328" t="s">
        <v>288</v>
      </c>
      <c r="E22" s="329">
        <v>8283.93</v>
      </c>
      <c r="F22" s="330" t="s">
        <v>284</v>
      </c>
      <c r="H22" s="336" t="s">
        <v>378</v>
      </c>
      <c r="I22" s="364" t="s">
        <v>343</v>
      </c>
      <c r="J22" s="337" t="s">
        <v>380</v>
      </c>
      <c r="K22" s="338">
        <v>1</v>
      </c>
      <c r="L22" s="339" t="s">
        <v>304</v>
      </c>
      <c r="M22" s="340">
        <f>E102</f>
        <v>96.726880000000008</v>
      </c>
      <c r="N22" s="341" t="s">
        <v>17</v>
      </c>
    </row>
    <row r="23" spans="2:18">
      <c r="B23" s="327" t="s">
        <v>289</v>
      </c>
      <c r="C23" s="285"/>
      <c r="D23" s="328" t="s">
        <v>290</v>
      </c>
      <c r="E23" s="329">
        <v>10375.39</v>
      </c>
      <c r="F23" s="330" t="s">
        <v>284</v>
      </c>
      <c r="H23" s="609"/>
      <c r="I23" s="610"/>
      <c r="J23" s="610"/>
      <c r="K23" s="611"/>
      <c r="L23" s="611"/>
      <c r="M23" s="610"/>
      <c r="N23" s="612"/>
    </row>
    <row r="24" spans="2:18">
      <c r="B24" s="327" t="s">
        <v>291</v>
      </c>
      <c r="C24" s="285"/>
      <c r="D24" s="328" t="s">
        <v>292</v>
      </c>
      <c r="E24" s="329">
        <v>8162.07</v>
      </c>
      <c r="F24" s="330" t="s">
        <v>284</v>
      </c>
      <c r="H24" s="336" t="s">
        <v>390</v>
      </c>
      <c r="I24" s="364" t="s">
        <v>383</v>
      </c>
      <c r="J24" s="337" t="s">
        <v>405</v>
      </c>
      <c r="K24" s="363">
        <f>(1/15)*7</f>
        <v>0.46666666666666667</v>
      </c>
      <c r="L24" s="339" t="s">
        <v>304</v>
      </c>
      <c r="M24" s="340">
        <f>E111</f>
        <v>79.585529999999991</v>
      </c>
      <c r="N24" s="341" t="s">
        <v>17</v>
      </c>
    </row>
    <row r="25" spans="2:18">
      <c r="B25" s="327" t="s">
        <v>293</v>
      </c>
      <c r="C25" s="285"/>
      <c r="D25" s="328" t="s">
        <v>294</v>
      </c>
      <c r="E25" s="329">
        <v>5301.36</v>
      </c>
      <c r="F25" s="330" t="s">
        <v>284</v>
      </c>
      <c r="H25" s="609"/>
      <c r="I25" s="610"/>
      <c r="J25" s="610"/>
      <c r="K25" s="611"/>
      <c r="L25" s="611"/>
      <c r="M25" s="610"/>
      <c r="N25" s="612"/>
      <c r="P25" s="432"/>
    </row>
    <row r="26" spans="2:18">
      <c r="B26" s="327" t="s">
        <v>295</v>
      </c>
      <c r="C26" s="285"/>
      <c r="D26" s="328" t="s">
        <v>296</v>
      </c>
      <c r="E26" s="329">
        <v>9703.5400000000009</v>
      </c>
      <c r="F26" s="330" t="s">
        <v>284</v>
      </c>
      <c r="H26" s="613" t="s">
        <v>305</v>
      </c>
      <c r="I26" s="579"/>
      <c r="J26" s="614"/>
      <c r="K26" s="614"/>
      <c r="L26" s="614"/>
      <c r="M26" s="342">
        <f>(K20*M20)+(K22*M22)+(K24*M24)</f>
        <v>192.53974400000001</v>
      </c>
      <c r="N26" s="343" t="s">
        <v>306</v>
      </c>
      <c r="P26" s="432"/>
      <c r="Q26" s="432"/>
    </row>
    <row r="27" spans="2:18" ht="15.75" thickBot="1">
      <c r="B27" s="327" t="s">
        <v>297</v>
      </c>
      <c r="C27" s="285"/>
      <c r="D27" s="328" t="s">
        <v>298</v>
      </c>
      <c r="E27" s="329">
        <v>3413.08</v>
      </c>
      <c r="F27" s="330" t="s">
        <v>284</v>
      </c>
      <c r="H27" s="597" t="s">
        <v>307</v>
      </c>
      <c r="I27" s="598"/>
      <c r="J27" s="599"/>
      <c r="K27" s="599"/>
      <c r="L27" s="599"/>
      <c r="M27" s="484">
        <f>((M26/7)*30)</f>
        <v>825.17033142857156</v>
      </c>
      <c r="N27" s="345" t="s">
        <v>306</v>
      </c>
      <c r="P27" s="432"/>
      <c r="R27" s="432"/>
    </row>
    <row r="28" spans="2:18">
      <c r="B28" s="327" t="s">
        <v>299</v>
      </c>
      <c r="C28" s="285"/>
      <c r="D28" s="328" t="s">
        <v>308</v>
      </c>
      <c r="E28" s="329">
        <v>3691.11</v>
      </c>
      <c r="F28" s="330" t="s">
        <v>284</v>
      </c>
    </row>
    <row r="29" spans="2:18" ht="15.75" thickBot="1">
      <c r="B29" s="327" t="s">
        <v>395</v>
      </c>
      <c r="C29" s="285"/>
      <c r="D29" s="328" t="s">
        <v>399</v>
      </c>
      <c r="E29" s="329">
        <v>2710.37</v>
      </c>
      <c r="F29" s="330" t="s">
        <v>284</v>
      </c>
    </row>
    <row r="30" spans="2:18" ht="15.75" thickBot="1">
      <c r="B30" s="327" t="s">
        <v>396</v>
      </c>
      <c r="C30" s="285"/>
      <c r="D30" s="328" t="s">
        <v>400</v>
      </c>
      <c r="E30" s="329">
        <v>5688.54</v>
      </c>
      <c r="F30" s="330" t="s">
        <v>284</v>
      </c>
      <c r="H30" s="539" t="s">
        <v>370</v>
      </c>
      <c r="I30" s="540"/>
      <c r="J30" s="540"/>
      <c r="K30" s="540"/>
      <c r="L30" s="540"/>
      <c r="M30" s="540"/>
      <c r="N30" s="541"/>
    </row>
    <row r="31" spans="2:18" ht="15.75" thickBot="1">
      <c r="B31" s="327" t="s">
        <v>397</v>
      </c>
      <c r="C31" s="285"/>
      <c r="D31" s="328" t="s">
        <v>401</v>
      </c>
      <c r="E31" s="329">
        <v>4935.83</v>
      </c>
      <c r="F31" s="330" t="s">
        <v>284</v>
      </c>
      <c r="H31" s="548" t="s">
        <v>371</v>
      </c>
      <c r="I31" s="600"/>
      <c r="J31" s="549"/>
      <c r="K31" s="549" t="s">
        <v>372</v>
      </c>
      <c r="L31" s="549"/>
      <c r="M31" s="421" t="s">
        <v>280</v>
      </c>
      <c r="N31" s="422" t="s">
        <v>62</v>
      </c>
      <c r="Q31" s="432"/>
    </row>
    <row r="32" spans="2:18" ht="15.75" thickBot="1">
      <c r="B32" s="327" t="s">
        <v>398</v>
      </c>
      <c r="C32" s="285"/>
      <c r="D32" s="328" t="s">
        <v>402</v>
      </c>
      <c r="E32" s="329">
        <v>7842.51</v>
      </c>
      <c r="F32" s="330" t="s">
        <v>284</v>
      </c>
      <c r="H32" s="601" t="s">
        <v>373</v>
      </c>
      <c r="I32" s="602"/>
      <c r="J32" s="603"/>
      <c r="K32" s="607" t="s">
        <v>374</v>
      </c>
      <c r="L32" s="607"/>
      <c r="M32" s="485">
        <v>49</v>
      </c>
      <c r="N32" s="346" t="s">
        <v>17</v>
      </c>
    </row>
    <row r="33" spans="2:20" ht="15.75" thickBot="1">
      <c r="B33" s="558" t="s">
        <v>300</v>
      </c>
      <c r="C33" s="559"/>
      <c r="D33" s="559"/>
      <c r="E33" s="332">
        <f>SUM(E21:E32)/1000</f>
        <v>79.826880000000003</v>
      </c>
      <c r="F33" s="333" t="s">
        <v>17</v>
      </c>
      <c r="H33" s="604"/>
      <c r="I33" s="605"/>
      <c r="J33" s="606"/>
      <c r="K33" s="608" t="s">
        <v>375</v>
      </c>
      <c r="L33" s="608"/>
      <c r="M33" s="486">
        <v>49</v>
      </c>
      <c r="N33" s="331" t="s">
        <v>17</v>
      </c>
    </row>
    <row r="34" spans="2:20" ht="15.75" thickBot="1">
      <c r="B34" s="423"/>
      <c r="C34" s="423"/>
      <c r="D34" s="423"/>
      <c r="E34" s="423"/>
      <c r="F34" s="423"/>
      <c r="H34" s="615" t="s">
        <v>376</v>
      </c>
      <c r="I34" s="616"/>
      <c r="J34" s="617"/>
      <c r="K34" s="617"/>
      <c r="L34" s="617"/>
      <c r="M34" s="481">
        <f>SUM(M32:M33)</f>
        <v>98</v>
      </c>
      <c r="N34" s="347" t="s">
        <v>17</v>
      </c>
    </row>
    <row r="35" spans="2:20" ht="15.75" thickBot="1">
      <c r="B35" s="548" t="s">
        <v>390</v>
      </c>
      <c r="C35" s="549"/>
      <c r="D35" s="549"/>
      <c r="E35" s="549"/>
      <c r="F35" s="550"/>
      <c r="H35" s="618"/>
      <c r="I35" s="619"/>
      <c r="J35" s="620"/>
      <c r="K35" s="620"/>
      <c r="L35" s="620"/>
      <c r="M35" s="620"/>
      <c r="N35" s="621"/>
    </row>
    <row r="36" spans="2:20" ht="15.75" thickBot="1">
      <c r="B36" s="592" t="s">
        <v>379</v>
      </c>
      <c r="C36" s="593"/>
      <c r="D36" s="593"/>
      <c r="E36" s="593"/>
      <c r="F36" s="594"/>
      <c r="H36" s="622" t="s">
        <v>377</v>
      </c>
      <c r="I36" s="623"/>
      <c r="J36" s="624"/>
      <c r="K36" s="624"/>
      <c r="L36" s="624"/>
      <c r="M36" s="469">
        <v>4</v>
      </c>
      <c r="N36" s="433" t="s">
        <v>10</v>
      </c>
    </row>
    <row r="37" spans="2:20" ht="15.75" thickBot="1">
      <c r="B37" s="349" t="s">
        <v>303</v>
      </c>
      <c r="C37" s="350" t="s">
        <v>282</v>
      </c>
      <c r="D37" s="350" t="s">
        <v>283</v>
      </c>
      <c r="E37" s="350" t="s">
        <v>280</v>
      </c>
      <c r="F37" s="351" t="s">
        <v>219</v>
      </c>
      <c r="H37" s="625"/>
      <c r="I37" s="626"/>
      <c r="J37" s="626"/>
      <c r="K37" s="626"/>
      <c r="L37" s="626"/>
      <c r="M37" s="626"/>
      <c r="N37" s="627"/>
    </row>
    <row r="38" spans="2:20" ht="15.75" thickBot="1">
      <c r="B38" s="327" t="s">
        <v>285</v>
      </c>
      <c r="C38" s="285"/>
      <c r="D38" s="328" t="s">
        <v>286</v>
      </c>
      <c r="E38" s="329">
        <v>10859.5</v>
      </c>
      <c r="F38" s="330" t="s">
        <v>284</v>
      </c>
      <c r="H38" s="628" t="s">
        <v>387</v>
      </c>
      <c r="I38" s="629"/>
      <c r="J38" s="630"/>
      <c r="K38" s="630"/>
      <c r="L38" s="630"/>
      <c r="M38" s="434">
        <f>M34*M36</f>
        <v>392</v>
      </c>
      <c r="N38" s="435" t="s">
        <v>306</v>
      </c>
      <c r="Q38" s="432"/>
      <c r="R38" s="432"/>
    </row>
    <row r="39" spans="2:20">
      <c r="B39" s="327" t="s">
        <v>287</v>
      </c>
      <c r="C39" s="285"/>
      <c r="D39" s="328" t="s">
        <v>288</v>
      </c>
      <c r="E39" s="329">
        <v>12888.65</v>
      </c>
      <c r="F39" s="330" t="s">
        <v>284</v>
      </c>
      <c r="M39" s="432"/>
    </row>
    <row r="40" spans="2:20">
      <c r="B40" s="327" t="s">
        <v>289</v>
      </c>
      <c r="C40" s="285"/>
      <c r="D40" s="328" t="s">
        <v>290</v>
      </c>
      <c r="E40" s="329">
        <v>12627.06</v>
      </c>
      <c r="F40" s="330" t="s">
        <v>284</v>
      </c>
      <c r="M40" s="432"/>
      <c r="Q40" s="432"/>
    </row>
    <row r="41" spans="2:20">
      <c r="B41" s="327" t="s">
        <v>291</v>
      </c>
      <c r="C41" s="285"/>
      <c r="D41" s="328" t="s">
        <v>292</v>
      </c>
      <c r="E41" s="329">
        <v>8628.5499999999993</v>
      </c>
      <c r="F41" s="330" t="s">
        <v>284</v>
      </c>
      <c r="R41" s="432"/>
      <c r="S41" s="432"/>
      <c r="T41" s="436"/>
    </row>
    <row r="42" spans="2:20">
      <c r="B42" s="327" t="s">
        <v>293</v>
      </c>
      <c r="C42" s="285"/>
      <c r="D42" s="328" t="s">
        <v>294</v>
      </c>
      <c r="E42" s="329">
        <v>6770.4</v>
      </c>
      <c r="F42" s="330" t="s">
        <v>284</v>
      </c>
      <c r="M42" s="432"/>
      <c r="O42" s="432"/>
    </row>
    <row r="43" spans="2:20">
      <c r="B43" s="327" t="s">
        <v>295</v>
      </c>
      <c r="C43" s="285"/>
      <c r="D43" s="328" t="s">
        <v>296</v>
      </c>
      <c r="E43" s="329">
        <v>7223.77</v>
      </c>
      <c r="F43" s="330" t="s">
        <v>284</v>
      </c>
    </row>
    <row r="44" spans="2:20" ht="15.75" thickBot="1">
      <c r="B44" s="327" t="s">
        <v>297</v>
      </c>
      <c r="C44" s="285"/>
      <c r="D44" s="328" t="s">
        <v>298</v>
      </c>
      <c r="E44" s="329">
        <v>5287.6</v>
      </c>
      <c r="F44" s="330" t="s">
        <v>284</v>
      </c>
    </row>
    <row r="45" spans="2:20" ht="15.75" thickBot="1">
      <c r="B45" s="558" t="s">
        <v>300</v>
      </c>
      <c r="C45" s="559"/>
      <c r="D45" s="559"/>
      <c r="E45" s="332">
        <f>SUM(E38:E44)/1000</f>
        <v>64.285529999999994</v>
      </c>
      <c r="F45" s="333" t="s">
        <v>17</v>
      </c>
    </row>
    <row r="46" spans="2:20" ht="15.75" thickBot="1">
      <c r="B46" s="423"/>
      <c r="C46" s="423"/>
      <c r="D46" s="423"/>
      <c r="E46" s="423"/>
      <c r="F46" s="423"/>
    </row>
    <row r="47" spans="2:20" ht="15.75" thickBot="1">
      <c r="B47" s="548" t="s">
        <v>448</v>
      </c>
      <c r="C47" s="549"/>
      <c r="D47" s="549"/>
      <c r="E47" s="549"/>
      <c r="F47" s="550"/>
    </row>
    <row r="48" spans="2:20" ht="15.75" thickBot="1">
      <c r="B48" s="592" t="s">
        <v>449</v>
      </c>
      <c r="C48" s="593"/>
      <c r="D48" s="593"/>
      <c r="E48" s="593"/>
      <c r="F48" s="594"/>
    </row>
    <row r="49" spans="2:6">
      <c r="B49" s="349" t="s">
        <v>303</v>
      </c>
      <c r="C49" s="350" t="s">
        <v>282</v>
      </c>
      <c r="D49" s="350" t="s">
        <v>283</v>
      </c>
      <c r="E49" s="350" t="s">
        <v>280</v>
      </c>
      <c r="F49" s="351" t="s">
        <v>219</v>
      </c>
    </row>
    <row r="50" spans="2:6">
      <c r="B50" s="327" t="s">
        <v>285</v>
      </c>
      <c r="C50" s="285"/>
      <c r="D50" s="328" t="s">
        <v>286</v>
      </c>
      <c r="E50" s="329">
        <v>3537.93</v>
      </c>
      <c r="F50" s="330" t="s">
        <v>284</v>
      </c>
    </row>
    <row r="51" spans="2:6">
      <c r="B51" s="327" t="s">
        <v>287</v>
      </c>
      <c r="C51" s="285"/>
      <c r="D51" s="328" t="s">
        <v>288</v>
      </c>
      <c r="E51" s="329">
        <v>3897.76</v>
      </c>
      <c r="F51" s="330" t="s">
        <v>284</v>
      </c>
    </row>
    <row r="52" spans="2:6">
      <c r="B52" s="327" t="s">
        <v>289</v>
      </c>
      <c r="C52" s="285"/>
      <c r="D52" s="328" t="s">
        <v>290</v>
      </c>
      <c r="E52" s="329">
        <v>3481.05</v>
      </c>
      <c r="F52" s="330" t="s">
        <v>284</v>
      </c>
    </row>
    <row r="53" spans="2:6" ht="15.75" thickBot="1">
      <c r="B53" s="327" t="s">
        <v>291</v>
      </c>
      <c r="C53" s="285"/>
      <c r="D53" s="328" t="s">
        <v>292</v>
      </c>
      <c r="E53" s="329">
        <v>3836.35</v>
      </c>
      <c r="F53" s="330" t="s">
        <v>284</v>
      </c>
    </row>
    <row r="54" spans="2:6" ht="15.75" thickBot="1">
      <c r="B54" s="558" t="s">
        <v>300</v>
      </c>
      <c r="C54" s="559"/>
      <c r="D54" s="559"/>
      <c r="E54" s="332">
        <f>SUM(E50:E53)/1000</f>
        <v>14.753090000000002</v>
      </c>
      <c r="F54" s="333" t="s">
        <v>17</v>
      </c>
    </row>
    <row r="55" spans="2:6">
      <c r="B55" s="423"/>
      <c r="C55" s="423"/>
      <c r="D55" s="423"/>
      <c r="E55" s="423"/>
      <c r="F55" s="423"/>
    </row>
    <row r="56" spans="2:6" ht="15.75" thickBot="1">
      <c r="B56" s="423"/>
      <c r="C56" s="423"/>
      <c r="D56" s="423"/>
      <c r="E56" s="423"/>
      <c r="F56" s="423"/>
    </row>
    <row r="57" spans="2:6" ht="15.75" thickBot="1">
      <c r="B57" s="536" t="s">
        <v>336</v>
      </c>
      <c r="C57" s="537"/>
      <c r="D57" s="537"/>
      <c r="E57" s="537"/>
      <c r="F57" s="538"/>
    </row>
    <row r="58" spans="2:6" ht="15.75" thickBot="1">
      <c r="B58" s="542"/>
      <c r="C58" s="543"/>
      <c r="D58" s="543"/>
      <c r="E58" s="543"/>
      <c r="F58" s="544"/>
    </row>
    <row r="59" spans="2:6" ht="15.75" thickBot="1">
      <c r="B59" s="536" t="s">
        <v>453</v>
      </c>
      <c r="C59" s="537"/>
      <c r="D59" s="537"/>
      <c r="E59" s="537"/>
      <c r="F59" s="538"/>
    </row>
    <row r="60" spans="2:6">
      <c r="B60" s="635" t="s">
        <v>365</v>
      </c>
      <c r="C60" s="636"/>
      <c r="D60" s="636"/>
      <c r="E60" s="636"/>
      <c r="F60" s="637"/>
    </row>
    <row r="61" spans="2:6">
      <c r="B61" s="570" t="s">
        <v>450</v>
      </c>
      <c r="C61" s="571"/>
      <c r="D61" s="631"/>
      <c r="E61" s="352">
        <v>2.5</v>
      </c>
      <c r="F61" s="330" t="s">
        <v>17</v>
      </c>
    </row>
    <row r="62" spans="2:6">
      <c r="B62" s="570" t="s">
        <v>366</v>
      </c>
      <c r="C62" s="571"/>
      <c r="D62" s="631"/>
      <c r="E62" s="334">
        <f>E16</f>
        <v>41.772949999999994</v>
      </c>
      <c r="F62" s="330" t="s">
        <v>17</v>
      </c>
    </row>
    <row r="63" spans="2:6">
      <c r="B63" s="570" t="s">
        <v>445</v>
      </c>
      <c r="C63" s="571"/>
      <c r="D63" s="631"/>
      <c r="E63" s="329">
        <v>41.8</v>
      </c>
      <c r="F63" s="330" t="s">
        <v>17</v>
      </c>
    </row>
    <row r="64" spans="2:6">
      <c r="B64" s="570" t="s">
        <v>446</v>
      </c>
      <c r="C64" s="571"/>
      <c r="D64" s="631"/>
      <c r="E64" s="426">
        <v>41.8</v>
      </c>
      <c r="F64" s="330" t="s">
        <v>17</v>
      </c>
    </row>
    <row r="65" spans="2:6" ht="15.75" thickBot="1">
      <c r="B65" s="632" t="s">
        <v>325</v>
      </c>
      <c r="C65" s="633"/>
      <c r="D65" s="634"/>
      <c r="E65" s="335">
        <f>SUM(E61:E64)</f>
        <v>127.87294999999999</v>
      </c>
      <c r="F65" s="427" t="s">
        <v>17</v>
      </c>
    </row>
    <row r="66" spans="2:6" ht="15.75" thickBot="1">
      <c r="B66" s="542"/>
      <c r="C66" s="543"/>
      <c r="D66" s="543"/>
      <c r="E66" s="543"/>
      <c r="F66" s="544"/>
    </row>
    <row r="67" spans="2:6" ht="15.75" thickBot="1">
      <c r="B67" s="423"/>
      <c r="C67" s="423"/>
      <c r="D67" s="423"/>
      <c r="E67" s="423"/>
      <c r="F67" s="423"/>
    </row>
    <row r="68" spans="2:6" ht="15.75" thickBot="1">
      <c r="B68" s="536" t="s">
        <v>453</v>
      </c>
      <c r="C68" s="537"/>
      <c r="D68" s="537"/>
      <c r="E68" s="537"/>
      <c r="F68" s="538"/>
    </row>
    <row r="69" spans="2:6">
      <c r="B69" s="635" t="s">
        <v>381</v>
      </c>
      <c r="C69" s="636"/>
      <c r="D69" s="636"/>
      <c r="E69" s="636"/>
      <c r="F69" s="637"/>
    </row>
    <row r="70" spans="2:6">
      <c r="B70" s="570" t="s">
        <v>450</v>
      </c>
      <c r="C70" s="571"/>
      <c r="D70" s="631"/>
      <c r="E70" s="352">
        <v>2.5</v>
      </c>
      <c r="F70" s="330" t="s">
        <v>17</v>
      </c>
    </row>
    <row r="71" spans="2:6">
      <c r="B71" s="570" t="s">
        <v>366</v>
      </c>
      <c r="C71" s="571"/>
      <c r="D71" s="631"/>
      <c r="E71" s="334">
        <f>E33</f>
        <v>79.826880000000003</v>
      </c>
      <c r="F71" s="330" t="s">
        <v>17</v>
      </c>
    </row>
    <row r="72" spans="2:6">
      <c r="B72" s="570" t="s">
        <v>445</v>
      </c>
      <c r="C72" s="571"/>
      <c r="D72" s="631"/>
      <c r="E72" s="329">
        <v>41.8</v>
      </c>
      <c r="F72" s="330" t="s">
        <v>17</v>
      </c>
    </row>
    <row r="73" spans="2:6">
      <c r="B73" s="570" t="s">
        <v>477</v>
      </c>
      <c r="C73" s="571"/>
      <c r="D73" s="631"/>
      <c r="E73" s="426">
        <v>41.8</v>
      </c>
      <c r="F73" s="330" t="s">
        <v>17</v>
      </c>
    </row>
    <row r="74" spans="2:6" ht="15.75" thickBot="1">
      <c r="B74" s="632" t="s">
        <v>325</v>
      </c>
      <c r="C74" s="633"/>
      <c r="D74" s="634"/>
      <c r="E74" s="335">
        <f>SUM(E70:E73)</f>
        <v>165.92687999999998</v>
      </c>
      <c r="F74" s="427" t="s">
        <v>17</v>
      </c>
    </row>
    <row r="75" spans="2:6" ht="15.75" thickBot="1">
      <c r="B75" s="542"/>
      <c r="C75" s="543"/>
      <c r="D75" s="543"/>
      <c r="E75" s="543"/>
      <c r="F75" s="544"/>
    </row>
    <row r="76" spans="2:6" ht="15.75" thickBot="1">
      <c r="B76" s="423"/>
      <c r="C76" s="423"/>
      <c r="D76" s="423"/>
      <c r="E76" s="423"/>
      <c r="F76" s="423"/>
    </row>
    <row r="77" spans="2:6" ht="15.75" thickBot="1">
      <c r="B77" s="536" t="s">
        <v>453</v>
      </c>
      <c r="C77" s="537"/>
      <c r="D77" s="537"/>
      <c r="E77" s="537"/>
      <c r="F77" s="538"/>
    </row>
    <row r="78" spans="2:6">
      <c r="B78" s="635" t="s">
        <v>451</v>
      </c>
      <c r="C78" s="636"/>
      <c r="D78" s="636"/>
      <c r="E78" s="636"/>
      <c r="F78" s="637"/>
    </row>
    <row r="79" spans="2:6">
      <c r="B79" s="570" t="s">
        <v>450</v>
      </c>
      <c r="C79" s="571"/>
      <c r="D79" s="631"/>
      <c r="E79" s="352">
        <v>2.5</v>
      </c>
      <c r="F79" s="330" t="s">
        <v>17</v>
      </c>
    </row>
    <row r="80" spans="2:6">
      <c r="B80" s="570" t="s">
        <v>366</v>
      </c>
      <c r="C80" s="571"/>
      <c r="D80" s="631"/>
      <c r="E80" s="334">
        <f>E54</f>
        <v>14.753090000000002</v>
      </c>
      <c r="F80" s="330" t="s">
        <v>17</v>
      </c>
    </row>
    <row r="81" spans="2:6">
      <c r="B81" s="570" t="s">
        <v>445</v>
      </c>
      <c r="C81" s="571"/>
      <c r="D81" s="631"/>
      <c r="E81" s="329">
        <v>41.8</v>
      </c>
      <c r="F81" s="330" t="s">
        <v>17</v>
      </c>
    </row>
    <row r="82" spans="2:6">
      <c r="B82" s="570" t="s">
        <v>446</v>
      </c>
      <c r="C82" s="571"/>
      <c r="D82" s="631"/>
      <c r="E82" s="426">
        <v>41.8</v>
      </c>
      <c r="F82" s="330" t="s">
        <v>17</v>
      </c>
    </row>
    <row r="83" spans="2:6" ht="15.75" thickBot="1">
      <c r="B83" s="632" t="s">
        <v>325</v>
      </c>
      <c r="C83" s="633"/>
      <c r="D83" s="634"/>
      <c r="E83" s="335">
        <f>SUM(E79:E82)</f>
        <v>100.85308999999999</v>
      </c>
      <c r="F83" s="427" t="s">
        <v>17</v>
      </c>
    </row>
    <row r="84" spans="2:6" ht="15.75" thickBot="1">
      <c r="B84" s="542"/>
      <c r="C84" s="543"/>
      <c r="D84" s="543"/>
      <c r="E84" s="543"/>
      <c r="F84" s="544"/>
    </row>
    <row r="85" spans="2:6">
      <c r="B85" s="423"/>
      <c r="C85" s="423"/>
      <c r="D85" s="423"/>
      <c r="E85" s="423"/>
      <c r="F85" s="423"/>
    </row>
    <row r="86" spans="2:6" ht="15.75" thickBot="1">
      <c r="B86" s="423"/>
      <c r="C86" s="423"/>
      <c r="D86" s="423"/>
      <c r="E86" s="423"/>
      <c r="F86" s="423"/>
    </row>
    <row r="87" spans="2:6" ht="15.75" thickBot="1">
      <c r="B87" s="536" t="s">
        <v>454</v>
      </c>
      <c r="C87" s="537"/>
      <c r="D87" s="537"/>
      <c r="E87" s="537"/>
      <c r="F87" s="538"/>
    </row>
    <row r="88" spans="2:6">
      <c r="B88" s="635" t="s">
        <v>365</v>
      </c>
      <c r="C88" s="636"/>
      <c r="D88" s="636"/>
      <c r="E88" s="636"/>
      <c r="F88" s="637"/>
    </row>
    <row r="89" spans="2:6">
      <c r="B89" s="570" t="s">
        <v>450</v>
      </c>
      <c r="C89" s="571"/>
      <c r="D89" s="631"/>
      <c r="E89" s="352">
        <v>2.5</v>
      </c>
      <c r="F89" s="330" t="s">
        <v>17</v>
      </c>
    </row>
    <row r="90" spans="2:6">
      <c r="B90" s="570" t="s">
        <v>366</v>
      </c>
      <c r="C90" s="571"/>
      <c r="D90" s="631"/>
      <c r="E90" s="334">
        <f>E16</f>
        <v>41.772949999999994</v>
      </c>
      <c r="F90" s="330" t="s">
        <v>17</v>
      </c>
    </row>
    <row r="91" spans="2:6">
      <c r="B91" s="570" t="s">
        <v>440</v>
      </c>
      <c r="C91" s="571"/>
      <c r="D91" s="631"/>
      <c r="E91" s="482">
        <v>7.2</v>
      </c>
      <c r="F91" s="330" t="s">
        <v>17</v>
      </c>
    </row>
    <row r="92" spans="2:6">
      <c r="B92" s="570" t="s">
        <v>441</v>
      </c>
      <c r="C92" s="571"/>
      <c r="D92" s="631"/>
      <c r="E92" s="482">
        <v>7.2</v>
      </c>
      <c r="F92" s="330" t="s">
        <v>17</v>
      </c>
    </row>
    <row r="93" spans="2:6" ht="15.75" thickBot="1">
      <c r="B93" s="632" t="s">
        <v>325</v>
      </c>
      <c r="C93" s="633"/>
      <c r="D93" s="634"/>
      <c r="E93" s="335">
        <f>SUM(E89:E92)</f>
        <v>58.67295</v>
      </c>
      <c r="F93" s="427" t="s">
        <v>17</v>
      </c>
    </row>
    <row r="94" spans="2:6" ht="15.75" thickBot="1">
      <c r="B94" s="542"/>
      <c r="C94" s="543"/>
      <c r="D94" s="543"/>
      <c r="E94" s="543"/>
      <c r="F94" s="544"/>
    </row>
    <row r="95" spans="2:6" ht="15.75" thickBot="1">
      <c r="B95" s="423"/>
      <c r="C95" s="423"/>
      <c r="D95" s="423"/>
      <c r="E95" s="423"/>
      <c r="F95" s="423"/>
    </row>
    <row r="96" spans="2:6" ht="15.75" thickBot="1">
      <c r="B96" s="536" t="s">
        <v>454</v>
      </c>
      <c r="C96" s="537"/>
      <c r="D96" s="537"/>
      <c r="E96" s="537"/>
      <c r="F96" s="538"/>
    </row>
    <row r="97" spans="2:6">
      <c r="B97" s="635" t="s">
        <v>381</v>
      </c>
      <c r="C97" s="636"/>
      <c r="D97" s="636"/>
      <c r="E97" s="636"/>
      <c r="F97" s="637"/>
    </row>
    <row r="98" spans="2:6">
      <c r="B98" s="570" t="s">
        <v>450</v>
      </c>
      <c r="C98" s="571"/>
      <c r="D98" s="631"/>
      <c r="E98" s="352">
        <v>2.5</v>
      </c>
      <c r="F98" s="330" t="s">
        <v>17</v>
      </c>
    </row>
    <row r="99" spans="2:6">
      <c r="B99" s="570" t="s">
        <v>366</v>
      </c>
      <c r="C99" s="571"/>
      <c r="D99" s="631"/>
      <c r="E99" s="483">
        <f>E33</f>
        <v>79.826880000000003</v>
      </c>
      <c r="F99" s="330" t="s">
        <v>17</v>
      </c>
    </row>
    <row r="100" spans="2:6">
      <c r="B100" s="570" t="s">
        <v>440</v>
      </c>
      <c r="C100" s="571"/>
      <c r="D100" s="631"/>
      <c r="E100" s="482">
        <v>7.2</v>
      </c>
      <c r="F100" s="330" t="s">
        <v>17</v>
      </c>
    </row>
    <row r="101" spans="2:6">
      <c r="B101" s="570" t="s">
        <v>441</v>
      </c>
      <c r="C101" s="571"/>
      <c r="D101" s="631"/>
      <c r="E101" s="482">
        <v>7.2</v>
      </c>
      <c r="F101" s="330" t="s">
        <v>17</v>
      </c>
    </row>
    <row r="102" spans="2:6" ht="15.75" thickBot="1">
      <c r="B102" s="632" t="s">
        <v>325</v>
      </c>
      <c r="C102" s="633"/>
      <c r="D102" s="634"/>
      <c r="E102" s="335">
        <f>SUM(E98:E101)</f>
        <v>96.726880000000008</v>
      </c>
      <c r="F102" s="427" t="s">
        <v>17</v>
      </c>
    </row>
    <row r="103" spans="2:6" ht="15.75" thickBot="1">
      <c r="B103" s="542"/>
      <c r="C103" s="543"/>
      <c r="D103" s="543"/>
      <c r="E103" s="543"/>
      <c r="F103" s="544"/>
    </row>
    <row r="104" spans="2:6" ht="15.75" thickBot="1"/>
    <row r="105" spans="2:6" ht="15.75" thickBot="1">
      <c r="B105" s="536" t="s">
        <v>455</v>
      </c>
      <c r="C105" s="537"/>
      <c r="D105" s="537"/>
      <c r="E105" s="537"/>
      <c r="F105" s="538"/>
    </row>
    <row r="106" spans="2:6">
      <c r="B106" s="635" t="s">
        <v>392</v>
      </c>
      <c r="C106" s="636"/>
      <c r="D106" s="636"/>
      <c r="E106" s="636"/>
      <c r="F106" s="637"/>
    </row>
    <row r="107" spans="2:6">
      <c r="B107" s="570" t="s">
        <v>450</v>
      </c>
      <c r="C107" s="571"/>
      <c r="D107" s="631"/>
      <c r="E107" s="352">
        <v>2.5</v>
      </c>
      <c r="F107" s="330" t="s">
        <v>17</v>
      </c>
    </row>
    <row r="108" spans="2:6">
      <c r="B108" s="570" t="s">
        <v>366</v>
      </c>
      <c r="C108" s="571"/>
      <c r="D108" s="631"/>
      <c r="E108" s="483">
        <f>E45</f>
        <v>64.285529999999994</v>
      </c>
      <c r="F108" s="330" t="s">
        <v>17</v>
      </c>
    </row>
    <row r="109" spans="2:6">
      <c r="B109" s="570" t="s">
        <v>440</v>
      </c>
      <c r="C109" s="571"/>
      <c r="D109" s="631"/>
      <c r="E109" s="482">
        <v>5.6</v>
      </c>
      <c r="F109" s="330" t="s">
        <v>17</v>
      </c>
    </row>
    <row r="110" spans="2:6">
      <c r="B110" s="570" t="s">
        <v>441</v>
      </c>
      <c r="C110" s="571"/>
      <c r="D110" s="631"/>
      <c r="E110" s="482">
        <v>7.2</v>
      </c>
      <c r="F110" s="330" t="s">
        <v>17</v>
      </c>
    </row>
    <row r="111" spans="2:6" ht="15.75" thickBot="1">
      <c r="B111" s="632" t="s">
        <v>325</v>
      </c>
      <c r="C111" s="633"/>
      <c r="D111" s="634"/>
      <c r="E111" s="335">
        <f>SUM(E107:E110)</f>
        <v>79.585529999999991</v>
      </c>
      <c r="F111" s="427" t="s">
        <v>17</v>
      </c>
    </row>
    <row r="112" spans="2:6" ht="15.75" thickBot="1">
      <c r="B112" s="542"/>
      <c r="C112" s="543"/>
      <c r="D112" s="543"/>
      <c r="E112" s="543"/>
      <c r="F112" s="544"/>
    </row>
  </sheetData>
  <mergeCells count="102">
    <mergeCell ref="B54:D54"/>
    <mergeCell ref="B98:D98"/>
    <mergeCell ref="B99:D99"/>
    <mergeCell ref="B100:D100"/>
    <mergeCell ref="B101:D101"/>
    <mergeCell ref="B102:D102"/>
    <mergeCell ref="B103:F103"/>
    <mergeCell ref="B91:D91"/>
    <mergeCell ref="B92:D92"/>
    <mergeCell ref="B93:D93"/>
    <mergeCell ref="B94:F94"/>
    <mergeCell ref="B96:F96"/>
    <mergeCell ref="B97:F97"/>
    <mergeCell ref="B57:F57"/>
    <mergeCell ref="B60:F60"/>
    <mergeCell ref="B65:D65"/>
    <mergeCell ref="B66:F66"/>
    <mergeCell ref="B77:F77"/>
    <mergeCell ref="B78:F78"/>
    <mergeCell ref="B79:D79"/>
    <mergeCell ref="B80:D80"/>
    <mergeCell ref="B81:D81"/>
    <mergeCell ref="B64:D64"/>
    <mergeCell ref="B68:F68"/>
    <mergeCell ref="B69:F69"/>
    <mergeCell ref="B70:D70"/>
    <mergeCell ref="B71:D71"/>
    <mergeCell ref="B58:F58"/>
    <mergeCell ref="B59:F59"/>
    <mergeCell ref="B61:D61"/>
    <mergeCell ref="B62:D62"/>
    <mergeCell ref="B63:D63"/>
    <mergeCell ref="B107:D107"/>
    <mergeCell ref="B108:D108"/>
    <mergeCell ref="B109:D109"/>
    <mergeCell ref="B110:D110"/>
    <mergeCell ref="B111:D111"/>
    <mergeCell ref="B112:F112"/>
    <mergeCell ref="B72:D72"/>
    <mergeCell ref="B73:D73"/>
    <mergeCell ref="B74:D74"/>
    <mergeCell ref="B75:F75"/>
    <mergeCell ref="B105:F105"/>
    <mergeCell ref="B106:F106"/>
    <mergeCell ref="B87:F87"/>
    <mergeCell ref="B88:F88"/>
    <mergeCell ref="B89:D89"/>
    <mergeCell ref="B90:D90"/>
    <mergeCell ref="B83:D83"/>
    <mergeCell ref="B84:F84"/>
    <mergeCell ref="B82:D82"/>
    <mergeCell ref="B18:F18"/>
    <mergeCell ref="B19:F19"/>
    <mergeCell ref="H21:N21"/>
    <mergeCell ref="H23:N23"/>
    <mergeCell ref="H25:N25"/>
    <mergeCell ref="H26:L26"/>
    <mergeCell ref="B36:F36"/>
    <mergeCell ref="B45:D45"/>
    <mergeCell ref="B48:F48"/>
    <mergeCell ref="H34:L34"/>
    <mergeCell ref="H35:N35"/>
    <mergeCell ref="B33:D33"/>
    <mergeCell ref="H36:L36"/>
    <mergeCell ref="H37:N37"/>
    <mergeCell ref="B35:F35"/>
    <mergeCell ref="H38:L38"/>
    <mergeCell ref="B47:F47"/>
    <mergeCell ref="J5:J6"/>
    <mergeCell ref="K5:L6"/>
    <mergeCell ref="M5:M6"/>
    <mergeCell ref="H27:L27"/>
    <mergeCell ref="H30:N30"/>
    <mergeCell ref="H31:J31"/>
    <mergeCell ref="K31:L31"/>
    <mergeCell ref="H32:J33"/>
    <mergeCell ref="K32:L32"/>
    <mergeCell ref="K33:L33"/>
    <mergeCell ref="B2:F2"/>
    <mergeCell ref="H2:N2"/>
    <mergeCell ref="B3:F3"/>
    <mergeCell ref="H3:N3"/>
    <mergeCell ref="B4:F4"/>
    <mergeCell ref="H4:N4"/>
    <mergeCell ref="H17:N17"/>
    <mergeCell ref="B16:D16"/>
    <mergeCell ref="H18:H19"/>
    <mergeCell ref="I18:I19"/>
    <mergeCell ref="J18:J19"/>
    <mergeCell ref="K18:L19"/>
    <mergeCell ref="M18:M19"/>
    <mergeCell ref="N18:N19"/>
    <mergeCell ref="N5:N6"/>
    <mergeCell ref="H8:N8"/>
    <mergeCell ref="H12:N12"/>
    <mergeCell ref="H13:L13"/>
    <mergeCell ref="H14:L14"/>
    <mergeCell ref="H15:N16"/>
    <mergeCell ref="H10:N10"/>
    <mergeCell ref="B5:F5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A10" sqref="A10"/>
    </sheetView>
  </sheetViews>
  <sheetFormatPr defaultColWidth="9.140625" defaultRowHeight="19.5" customHeight="1"/>
  <cols>
    <col min="1" max="1" width="24.5703125" style="1" customWidth="1"/>
    <col min="2" max="2" width="20.85546875" style="1" customWidth="1"/>
    <col min="3" max="16384" width="9.140625" style="1"/>
  </cols>
  <sheetData>
    <row r="1" spans="1:2" ht="19.5" customHeight="1" thickBot="1">
      <c r="A1" s="638" t="s">
        <v>328</v>
      </c>
      <c r="B1" s="639"/>
    </row>
    <row r="2" spans="1:2" s="97" customFormat="1" ht="19.5" customHeight="1">
      <c r="A2" s="225" t="s">
        <v>176</v>
      </c>
      <c r="B2" s="226" t="s">
        <v>242</v>
      </c>
    </row>
    <row r="3" spans="1:2" ht="19.5" customHeight="1">
      <c r="A3" s="139">
        <v>1</v>
      </c>
      <c r="B3" s="138">
        <v>33.629999999999995</v>
      </c>
    </row>
    <row r="4" spans="1:2" ht="19.5" customHeight="1">
      <c r="A4" s="139">
        <v>2</v>
      </c>
      <c r="B4" s="138">
        <v>43.13</v>
      </c>
    </row>
    <row r="5" spans="1:2" ht="19.5" customHeight="1">
      <c r="A5" s="139">
        <v>3</v>
      </c>
      <c r="B5" s="138">
        <v>48.68</v>
      </c>
    </row>
    <row r="6" spans="1:2" ht="19.5" customHeight="1">
      <c r="A6" s="139">
        <v>4</v>
      </c>
      <c r="B6" s="138">
        <v>52.62</v>
      </c>
    </row>
    <row r="7" spans="1:2" ht="19.5" customHeight="1">
      <c r="A7" s="139">
        <v>5</v>
      </c>
      <c r="B7" s="138">
        <v>55.679999999999993</v>
      </c>
    </row>
    <row r="8" spans="1:2" ht="19.5" customHeight="1">
      <c r="A8" s="139">
        <v>6</v>
      </c>
      <c r="B8" s="138">
        <v>58.18</v>
      </c>
    </row>
    <row r="9" spans="1:2" ht="19.5" customHeight="1">
      <c r="A9" s="139">
        <v>7</v>
      </c>
      <c r="B9" s="138">
        <v>60.29</v>
      </c>
    </row>
    <row r="10" spans="1:2" ht="19.5" customHeight="1">
      <c r="A10" s="139">
        <v>8</v>
      </c>
      <c r="B10" s="138">
        <v>62.12</v>
      </c>
    </row>
    <row r="11" spans="1:2" ht="19.5" customHeight="1">
      <c r="A11" s="139">
        <v>9</v>
      </c>
      <c r="B11" s="138">
        <v>63.73</v>
      </c>
    </row>
    <row r="12" spans="1:2" ht="19.5" customHeight="1">
      <c r="A12" s="139">
        <v>10</v>
      </c>
      <c r="B12" s="138">
        <v>65.180000000000007</v>
      </c>
    </row>
    <row r="13" spans="1:2" ht="19.5" customHeight="1">
      <c r="A13" s="139">
        <v>11</v>
      </c>
      <c r="B13" s="138">
        <v>66.47999999999999</v>
      </c>
    </row>
    <row r="14" spans="1:2" ht="19.5" customHeight="1">
      <c r="A14" s="139">
        <v>12</v>
      </c>
      <c r="B14" s="138">
        <v>67.67</v>
      </c>
    </row>
    <row r="15" spans="1:2" ht="19.5" customHeight="1">
      <c r="A15" s="139">
        <v>13</v>
      </c>
      <c r="B15" s="138">
        <v>68.77</v>
      </c>
    </row>
    <row r="16" spans="1:2" ht="19.5" customHeight="1">
      <c r="A16" s="139">
        <v>14</v>
      </c>
      <c r="B16" s="138">
        <v>69.789999999999992</v>
      </c>
    </row>
    <row r="17" spans="1:2" ht="19.5" customHeight="1" thickBot="1">
      <c r="A17" s="140">
        <v>15</v>
      </c>
      <c r="B17" s="141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6</vt:i4>
      </vt:variant>
    </vt:vector>
  </HeadingPairs>
  <TitlesOfParts>
    <vt:vector size="17" baseType="lpstr">
      <vt:lpstr>Resumo 2025</vt:lpstr>
      <vt:lpstr>1. Coleta Orgânica e Selet</vt:lpstr>
      <vt:lpstr>2. Contentores</vt:lpstr>
      <vt:lpstr>3.Enc Sociais</vt:lpstr>
      <vt:lpstr>4.BDI</vt:lpstr>
      <vt:lpstr>5. Ton </vt:lpstr>
      <vt:lpstr>6. Hor. </vt:lpstr>
      <vt:lpstr>7. Roteiros</vt:lpstr>
      <vt:lpstr>8. Depr</vt:lpstr>
      <vt:lpstr>9. Rem capital</vt:lpstr>
      <vt:lpstr>10. Dimens</vt:lpstr>
      <vt:lpstr>AbaDeprec</vt:lpstr>
      <vt:lpstr>AbaRemun</vt:lpstr>
      <vt:lpstr>'1. Coleta Orgânica e Selet'!Area_de_impressao</vt:lpstr>
      <vt:lpstr>'2. Contentores'!Area_de_impressao</vt:lpstr>
      <vt:lpstr>'3.Enc Sociais'!Area_de_impressao</vt:lpstr>
      <vt:lpstr>'2. Contentores'!Titulos_de_impressao</vt:lpstr>
    </vt:vector>
  </TitlesOfParts>
  <Company>dmlu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meda</cp:lastModifiedBy>
  <cp:lastPrinted>2025-10-23T17:57:22Z</cp:lastPrinted>
  <dcterms:created xsi:type="dcterms:W3CDTF">2000-12-13T10:02:50Z</dcterms:created>
  <dcterms:modified xsi:type="dcterms:W3CDTF">2025-10-23T20:07:28Z</dcterms:modified>
</cp:coreProperties>
</file>